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240" yWindow="105" windowWidth="14805" windowHeight="8010" firstSheet="1" activeTab="1"/>
  </bookViews>
  <sheets>
    <sheet name="Приложение № 2" sheetId="1" state="hidden" r:id="rId1"/>
    <sheet name="Приложение № 2 (2)" sheetId="4" r:id="rId2"/>
    <sheet name="Прилож № 3 программы" sheetId="3" state="hidden" r:id="rId3"/>
  </sheets>
  <definedNames>
    <definedName name="_GoBack" localSheetId="0">'Приложение № 2'!#REF!</definedName>
    <definedName name="_GoBack" localSheetId="1">'Приложение № 2 (2)'!#REF!</definedName>
    <definedName name="_xlnm._FilterDatabase" localSheetId="0" hidden="1">'Приложение № 2'!$C$15:$F$284</definedName>
    <definedName name="_xlnm._FilterDatabase" localSheetId="1" hidden="1">'Приложение № 2 (2)'!$C$10:$F$279</definedName>
    <definedName name="_xlnm.Print_Titles" localSheetId="2">'Прилож № 3 программы'!#REF!</definedName>
    <definedName name="_xlnm.Print_Titles" localSheetId="0">'Приложение № 2'!$14:$15</definedName>
    <definedName name="_xlnm.Print_Titles" localSheetId="1">'Приложение № 2 (2)'!$9:$10</definedName>
    <definedName name="_xlnm.Print_Area" localSheetId="2">'Прилож № 3 программы'!$A$1:$F$277</definedName>
    <definedName name="_xlnm.Print_Area" localSheetId="0">'Приложение № 2'!$A$1:$I$284</definedName>
    <definedName name="_xlnm.Print_Area" localSheetId="1">'Приложение № 2 (2)'!$A$1:$H$279</definedName>
  </definedNames>
  <calcPr calcId="145621"/>
</workbook>
</file>

<file path=xl/calcChain.xml><?xml version="1.0" encoding="utf-8"?>
<calcChain xmlns="http://schemas.openxmlformats.org/spreadsheetml/2006/main">
  <c r="H273" i="4" l="1"/>
  <c r="H272" i="4" s="1"/>
  <c r="G276" i="4"/>
  <c r="G275" i="4" s="1"/>
  <c r="H214" i="4"/>
  <c r="H23" i="4"/>
  <c r="H276" i="4"/>
  <c r="H275" i="4" s="1"/>
  <c r="G273" i="4"/>
  <c r="G272" i="4" s="1"/>
  <c r="H270" i="4"/>
  <c r="H269" i="4" s="1"/>
  <c r="G270" i="4"/>
  <c r="G269" i="4" s="1"/>
  <c r="H264" i="4"/>
  <c r="H263" i="4" s="1"/>
  <c r="H262" i="4" s="1"/>
  <c r="H261" i="4" s="1"/>
  <c r="H260" i="4" s="1"/>
  <c r="G264" i="4"/>
  <c r="G263" i="4" s="1"/>
  <c r="G262" i="4" s="1"/>
  <c r="G261" i="4" s="1"/>
  <c r="G260" i="4" s="1"/>
  <c r="G258" i="4"/>
  <c r="G257" i="4" s="1"/>
  <c r="G256" i="4" s="1"/>
  <c r="G255" i="4" s="1"/>
  <c r="H258" i="4"/>
  <c r="H257" i="4" s="1"/>
  <c r="H256" i="4" s="1"/>
  <c r="H255" i="4" s="1"/>
  <c r="G252" i="4"/>
  <c r="G251" i="4" s="1"/>
  <c r="H252" i="4"/>
  <c r="H251" i="4" s="1"/>
  <c r="G249" i="4"/>
  <c r="G248" i="4" s="1"/>
  <c r="H249" i="4"/>
  <c r="H248" i="4" s="1"/>
  <c r="G246" i="4"/>
  <c r="G245" i="4" s="1"/>
  <c r="H246" i="4"/>
  <c r="H245" i="4" s="1"/>
  <c r="G243" i="4"/>
  <c r="G242" i="4" s="1"/>
  <c r="H243" i="4"/>
  <c r="H242" i="4" s="1"/>
  <c r="H237" i="4"/>
  <c r="H236" i="4" s="1"/>
  <c r="H235" i="4" s="1"/>
  <c r="H234" i="4" s="1"/>
  <c r="H233" i="4" s="1"/>
  <c r="G237" i="4"/>
  <c r="G236" i="4" s="1"/>
  <c r="G235" i="4" s="1"/>
  <c r="G234" i="4" s="1"/>
  <c r="G233" i="4" s="1"/>
  <c r="H231" i="4"/>
  <c r="H230" i="4" s="1"/>
  <c r="G231" i="4"/>
  <c r="G230" i="4" s="1"/>
  <c r="G228" i="4"/>
  <c r="G227" i="4" s="1"/>
  <c r="H228" i="4"/>
  <c r="H227" i="4" s="1"/>
  <c r="G225" i="4"/>
  <c r="G224" i="4" s="1"/>
  <c r="H225" i="4"/>
  <c r="H224" i="4" s="1"/>
  <c r="H220" i="4" s="1"/>
  <c r="H222" i="4"/>
  <c r="H221" i="4" s="1"/>
  <c r="G222" i="4"/>
  <c r="G221" i="4" s="1"/>
  <c r="H216" i="4"/>
  <c r="G216" i="4"/>
  <c r="G214" i="4"/>
  <c r="H211" i="4"/>
  <c r="G211" i="4"/>
  <c r="H209" i="4"/>
  <c r="G209" i="4"/>
  <c r="H207" i="4"/>
  <c r="G207" i="4"/>
  <c r="G202" i="4"/>
  <c r="G201" i="4" s="1"/>
  <c r="H202" i="4"/>
  <c r="H201" i="4" s="1"/>
  <c r="H199" i="4"/>
  <c r="G199" i="4"/>
  <c r="H197" i="4"/>
  <c r="G197" i="4"/>
  <c r="K193" i="4"/>
  <c r="J193" i="4"/>
  <c r="H192" i="4"/>
  <c r="H191" i="4" s="1"/>
  <c r="G192" i="4"/>
  <c r="G191" i="4" s="1"/>
  <c r="K190" i="4"/>
  <c r="J190" i="4"/>
  <c r="H189" i="4"/>
  <c r="H188" i="4" s="1"/>
  <c r="G189" i="4"/>
  <c r="G188" i="4" s="1"/>
  <c r="K187" i="4"/>
  <c r="J187" i="4"/>
  <c r="G186" i="4"/>
  <c r="G185" i="4" s="1"/>
  <c r="H186" i="4"/>
  <c r="H185" i="4" s="1"/>
  <c r="G182" i="4"/>
  <c r="G181" i="4" s="1"/>
  <c r="G180" i="4" s="1"/>
  <c r="H182" i="4"/>
  <c r="H181" i="4" s="1"/>
  <c r="H180" i="4" s="1"/>
  <c r="H178" i="4"/>
  <c r="H177" i="4" s="1"/>
  <c r="G178" i="4"/>
  <c r="G177" i="4" s="1"/>
  <c r="H175" i="4"/>
  <c r="H174" i="4" s="1"/>
  <c r="G175" i="4"/>
  <c r="G174" i="4" s="1"/>
  <c r="G170" i="4"/>
  <c r="G169" i="4" s="1"/>
  <c r="G168" i="4" s="1"/>
  <c r="H170" i="4"/>
  <c r="H169" i="4" s="1"/>
  <c r="H168" i="4" s="1"/>
  <c r="H166" i="4"/>
  <c r="G166" i="4"/>
  <c r="H164" i="4"/>
  <c r="H163" i="4" s="1"/>
  <c r="H162" i="4" s="1"/>
  <c r="G164" i="4"/>
  <c r="G160" i="4"/>
  <c r="G159" i="4" s="1"/>
  <c r="H160" i="4"/>
  <c r="H159" i="4" s="1"/>
  <c r="H155" i="4"/>
  <c r="G155" i="4"/>
  <c r="H143" i="4"/>
  <c r="G149" i="4"/>
  <c r="G148" i="4" s="1"/>
  <c r="H145" i="4"/>
  <c r="G145" i="4"/>
  <c r="G143" i="4"/>
  <c r="H133" i="4"/>
  <c r="H132" i="4" s="1"/>
  <c r="G133" i="4"/>
  <c r="G132" i="4" s="1"/>
  <c r="H130" i="4"/>
  <c r="H129" i="4" s="1"/>
  <c r="G130" i="4"/>
  <c r="G129" i="4" s="1"/>
  <c r="H127" i="4"/>
  <c r="H126" i="4" s="1"/>
  <c r="G127" i="4"/>
  <c r="G126" i="4" s="1"/>
  <c r="G124" i="4"/>
  <c r="G123" i="4" s="1"/>
  <c r="H124" i="4"/>
  <c r="H123" i="4" s="1"/>
  <c r="H120" i="4"/>
  <c r="H119" i="4" s="1"/>
  <c r="H118" i="4" s="1"/>
  <c r="G119" i="4"/>
  <c r="G118" i="4" s="1"/>
  <c r="H117" i="4"/>
  <c r="H116" i="4" s="1"/>
  <c r="H115" i="4" s="1"/>
  <c r="H114" i="4" s="1"/>
  <c r="G116" i="4"/>
  <c r="G115" i="4" s="1"/>
  <c r="G113" i="4"/>
  <c r="G112" i="4" s="1"/>
  <c r="G111" i="4" s="1"/>
  <c r="H112" i="4"/>
  <c r="H111" i="4" s="1"/>
  <c r="H110" i="4"/>
  <c r="H109" i="4" s="1"/>
  <c r="H108" i="4" s="1"/>
  <c r="G109" i="4"/>
  <c r="G108" i="4" s="1"/>
  <c r="H107" i="4"/>
  <c r="H106" i="4" s="1"/>
  <c r="H105" i="4" s="1"/>
  <c r="G106" i="4"/>
  <c r="G105" i="4" s="1"/>
  <c r="G102" i="4"/>
  <c r="G101" i="4" s="1"/>
  <c r="H102" i="4"/>
  <c r="H101" i="4" s="1"/>
  <c r="H99" i="4"/>
  <c r="H98" i="4" s="1"/>
  <c r="G99" i="4"/>
  <c r="G98" i="4" s="1"/>
  <c r="H97" i="4"/>
  <c r="H96" i="4" s="1"/>
  <c r="H95" i="4" s="1"/>
  <c r="G96" i="4"/>
  <c r="G95" i="4" s="1"/>
  <c r="H93" i="4"/>
  <c r="H92" i="4" s="1"/>
  <c r="G93" i="4"/>
  <c r="G92" i="4" s="1"/>
  <c r="G87" i="4"/>
  <c r="G86" i="4" s="1"/>
  <c r="G85" i="4" s="1"/>
  <c r="H87" i="4"/>
  <c r="H86" i="4" s="1"/>
  <c r="H85" i="4" s="1"/>
  <c r="H83" i="4"/>
  <c r="H82" i="4" s="1"/>
  <c r="G83" i="4"/>
  <c r="G82" i="4" s="1"/>
  <c r="H80" i="4"/>
  <c r="H79" i="4" s="1"/>
  <c r="G80" i="4"/>
  <c r="G79" i="4" s="1"/>
  <c r="G74" i="4"/>
  <c r="H72" i="4"/>
  <c r="G72" i="4"/>
  <c r="G66" i="4"/>
  <c r="G65" i="4" s="1"/>
  <c r="H66" i="4"/>
  <c r="H65" i="4" s="1"/>
  <c r="G63" i="4"/>
  <c r="H63" i="4"/>
  <c r="H61" i="4"/>
  <c r="G61" i="4"/>
  <c r="G58" i="4"/>
  <c r="G57" i="4" s="1"/>
  <c r="H58" i="4"/>
  <c r="H57" i="4" s="1"/>
  <c r="H55" i="4"/>
  <c r="H54" i="4" s="1"/>
  <c r="G55" i="4"/>
  <c r="G54" i="4" s="1"/>
  <c r="H50" i="4"/>
  <c r="H49" i="4" s="1"/>
  <c r="H48" i="4" s="1"/>
  <c r="H47" i="4" s="1"/>
  <c r="G50" i="4"/>
  <c r="G49" i="4" s="1"/>
  <c r="G48" i="4" s="1"/>
  <c r="G47" i="4" s="1"/>
  <c r="H45" i="4"/>
  <c r="H44" i="4" s="1"/>
  <c r="H43" i="4" s="1"/>
  <c r="H42" i="4" s="1"/>
  <c r="H41" i="4" s="1"/>
  <c r="G45" i="4"/>
  <c r="G44" i="4" s="1"/>
  <c r="G43" i="4" s="1"/>
  <c r="G42" i="4" s="1"/>
  <c r="G41" i="4" s="1"/>
  <c r="H39" i="4"/>
  <c r="H38" i="4" s="1"/>
  <c r="H37" i="4" s="1"/>
  <c r="G39" i="4"/>
  <c r="G38" i="4" s="1"/>
  <c r="G37" i="4" s="1"/>
  <c r="H35" i="4"/>
  <c r="G35" i="4"/>
  <c r="H33" i="4"/>
  <c r="G33" i="4"/>
  <c r="G30" i="4"/>
  <c r="G29" i="4" s="1"/>
  <c r="H30" i="4"/>
  <c r="H29" i="4" s="1"/>
  <c r="H27" i="4"/>
  <c r="H22" i="4" s="1"/>
  <c r="G27" i="4"/>
  <c r="H25" i="4"/>
  <c r="G25" i="4"/>
  <c r="G23" i="4"/>
  <c r="G22" i="4" s="1"/>
  <c r="H17" i="4"/>
  <c r="H16" i="4" s="1"/>
  <c r="H15" i="4" s="1"/>
  <c r="H14" i="4" s="1"/>
  <c r="H13" i="4" s="1"/>
  <c r="G17" i="4"/>
  <c r="G16" i="4" s="1"/>
  <c r="G15" i="4" s="1"/>
  <c r="G14" i="4" s="1"/>
  <c r="G13" i="4" s="1"/>
  <c r="H142" i="4" l="1"/>
  <c r="H268" i="4"/>
  <c r="H267" i="4" s="1"/>
  <c r="H266" i="4" s="1"/>
  <c r="G268" i="4"/>
  <c r="G173" i="4"/>
  <c r="G78" i="4"/>
  <c r="G71" i="4"/>
  <c r="G70" i="4" s="1"/>
  <c r="G69" i="4" s="1"/>
  <c r="G68" i="4" s="1"/>
  <c r="G60" i="4"/>
  <c r="H32" i="4"/>
  <c r="G196" i="4"/>
  <c r="G195" i="4" s="1"/>
  <c r="G194" i="4" s="1"/>
  <c r="G241" i="4"/>
  <c r="G240" i="4" s="1"/>
  <c r="G239" i="4" s="1"/>
  <c r="G206" i="4"/>
  <c r="H122" i="4"/>
  <c r="H121" i="4" s="1"/>
  <c r="H149" i="4"/>
  <c r="H148" i="4" s="1"/>
  <c r="H141" i="4" s="1"/>
  <c r="H137" i="4" s="1"/>
  <c r="H136" i="4" s="1"/>
  <c r="H196" i="4"/>
  <c r="H195" i="4" s="1"/>
  <c r="H194" i="4" s="1"/>
  <c r="G267" i="4"/>
  <c r="G266" i="4" s="1"/>
  <c r="H21" i="4"/>
  <c r="H20" i="4" s="1"/>
  <c r="H19" i="4" s="1"/>
  <c r="H60" i="4"/>
  <c r="H53" i="4" s="1"/>
  <c r="H52" i="4" s="1"/>
  <c r="H104" i="4"/>
  <c r="G220" i="4"/>
  <c r="G219" i="4" s="1"/>
  <c r="G218" i="4" s="1"/>
  <c r="G184" i="4"/>
  <c r="H184" i="4"/>
  <c r="H254" i="4"/>
  <c r="G213" i="4"/>
  <c r="G114" i="4"/>
  <c r="H91" i="4"/>
  <c r="H219" i="4"/>
  <c r="H218" i="4" s="1"/>
  <c r="G104" i="4"/>
  <c r="G53" i="4"/>
  <c r="G52" i="4" s="1"/>
  <c r="H78" i="4"/>
  <c r="H77" i="4" s="1"/>
  <c r="H76" i="4" s="1"/>
  <c r="G32" i="4"/>
  <c r="G122" i="4"/>
  <c r="G121" i="4" s="1"/>
  <c r="G77" i="4"/>
  <c r="G76" i="4" s="1"/>
  <c r="G91" i="4"/>
  <c r="G142" i="4"/>
  <c r="G141" i="4" s="1"/>
  <c r="G163" i="4"/>
  <c r="G162" i="4" s="1"/>
  <c r="G158" i="4" s="1"/>
  <c r="G157" i="4" s="1"/>
  <c r="H173" i="4"/>
  <c r="H206" i="4"/>
  <c r="G254" i="4"/>
  <c r="H74" i="4"/>
  <c r="H71" i="4" s="1"/>
  <c r="H70" i="4" s="1"/>
  <c r="H69" i="4" s="1"/>
  <c r="H68" i="4" s="1"/>
  <c r="H213" i="4"/>
  <c r="H158" i="4"/>
  <c r="H157" i="4" s="1"/>
  <c r="H241" i="4"/>
  <c r="H240" i="4" s="1"/>
  <c r="H239" i="4" s="1"/>
  <c r="D188" i="3"/>
  <c r="F115" i="3"/>
  <c r="E115" i="3"/>
  <c r="D115" i="3"/>
  <c r="F124" i="3"/>
  <c r="F123" i="3" s="1"/>
  <c r="E124" i="3"/>
  <c r="E123" i="3" s="1"/>
  <c r="D124" i="3"/>
  <c r="D123" i="3"/>
  <c r="D125" i="3"/>
  <c r="D214" i="3"/>
  <c r="D232" i="3"/>
  <c r="D65" i="3"/>
  <c r="D162" i="3"/>
  <c r="D164" i="3"/>
  <c r="D128" i="3"/>
  <c r="D130" i="3"/>
  <c r="D265" i="3"/>
  <c r="D205" i="3"/>
  <c r="D50" i="3"/>
  <c r="D225" i="3"/>
  <c r="D32" i="3"/>
  <c r="D154" i="3"/>
  <c r="D146" i="3"/>
  <c r="D120" i="3"/>
  <c r="D111" i="3"/>
  <c r="I27" i="1"/>
  <c r="H27" i="1"/>
  <c r="G26" i="1"/>
  <c r="I35" i="1"/>
  <c r="I34" i="1" s="1"/>
  <c r="H35" i="1"/>
  <c r="H34" i="1" s="1"/>
  <c r="G34" i="1"/>
  <c r="G36" i="1"/>
  <c r="G35" i="1"/>
  <c r="G149" i="1"/>
  <c r="G176" i="1"/>
  <c r="G184" i="1"/>
  <c r="G159" i="1"/>
  <c r="G78" i="1"/>
  <c r="G80" i="1"/>
  <c r="G39" i="1"/>
  <c r="G41" i="1"/>
  <c r="G270" i="1"/>
  <c r="G215" i="1"/>
  <c r="G203" i="1"/>
  <c r="G181" i="1"/>
  <c r="G155" i="1"/>
  <c r="G99" i="1"/>
  <c r="G69" i="1"/>
  <c r="G61" i="1"/>
  <c r="G205" i="4" l="1"/>
  <c r="G204" i="4" s="1"/>
  <c r="H12" i="4"/>
  <c r="G137" i="4"/>
  <c r="G136" i="4" s="1"/>
  <c r="G172" i="4"/>
  <c r="H90" i="4"/>
  <c r="H89" i="4" s="1"/>
  <c r="G90" i="4"/>
  <c r="G89" i="4" s="1"/>
  <c r="G21" i="4"/>
  <c r="G20" i="4" s="1"/>
  <c r="G19" i="4" s="1"/>
  <c r="G12" i="4" s="1"/>
  <c r="H172" i="4"/>
  <c r="H205" i="4"/>
  <c r="H204" i="4" s="1"/>
  <c r="G31" i="1"/>
  <c r="G23" i="1"/>
  <c r="G135" i="4" l="1"/>
  <c r="G11" i="4" s="1"/>
  <c r="H135" i="4"/>
  <c r="H11" i="4" s="1"/>
  <c r="H29" i="1"/>
  <c r="H181" i="1"/>
  <c r="H61" i="1"/>
  <c r="D149" i="3" l="1"/>
  <c r="G64" i="1"/>
  <c r="D186" i="3"/>
  <c r="G213" i="1"/>
  <c r="E151" i="3" l="1"/>
  <c r="D151" i="3"/>
  <c r="D152" i="3"/>
  <c r="F151" i="3"/>
  <c r="I66" i="1"/>
  <c r="I65" i="1" s="1"/>
  <c r="H66" i="1"/>
  <c r="H65" i="1"/>
  <c r="G66" i="1"/>
  <c r="E164" i="3" l="1"/>
  <c r="I80" i="1"/>
  <c r="H80" i="1"/>
  <c r="D245" i="3" l="1"/>
  <c r="D251" i="3"/>
  <c r="D250" i="3"/>
  <c r="D249" i="3" s="1"/>
  <c r="F250" i="3"/>
  <c r="E250" i="3"/>
  <c r="F249" i="3"/>
  <c r="E249" i="3"/>
  <c r="D118" i="3"/>
  <c r="D220" i="3"/>
  <c r="I246" i="1"/>
  <c r="H246" i="1"/>
  <c r="G246" i="1"/>
  <c r="G252" i="1"/>
  <c r="G251" i="1"/>
  <c r="G250" i="1" s="1"/>
  <c r="I251" i="1"/>
  <c r="I250" i="1" s="1"/>
  <c r="H251" i="1"/>
  <c r="H250" i="1"/>
  <c r="G29" i="1"/>
  <c r="G170" i="1"/>
  <c r="D91" i="3" l="1"/>
  <c r="G195" i="1" l="1"/>
  <c r="D62" i="3" l="1"/>
  <c r="F61" i="3"/>
  <c r="F60" i="3" s="1"/>
  <c r="E61" i="3"/>
  <c r="E60" i="3" s="1"/>
  <c r="D61" i="3"/>
  <c r="D60" i="3" s="1"/>
  <c r="D68" i="3"/>
  <c r="F67" i="3"/>
  <c r="F66" i="3" s="1"/>
  <c r="E67" i="3"/>
  <c r="E66" i="3" s="1"/>
  <c r="D67" i="3"/>
  <c r="D66" i="3" s="1"/>
  <c r="D193" i="3"/>
  <c r="F192" i="3"/>
  <c r="F191" i="3" s="1"/>
  <c r="E192" i="3"/>
  <c r="E191" i="3" s="1"/>
  <c r="D192" i="3"/>
  <c r="D191" i="3" s="1"/>
  <c r="G223" i="1"/>
  <c r="G225" i="1"/>
  <c r="G231" i="1"/>
  <c r="G230" i="1" s="1"/>
  <c r="G229" i="1" s="1"/>
  <c r="I230" i="1"/>
  <c r="I229" i="1" s="1"/>
  <c r="H230" i="1"/>
  <c r="H229" i="1"/>
  <c r="G232" i="1"/>
  <c r="G234" i="1"/>
  <c r="H233" i="1"/>
  <c r="H232" i="1" s="1"/>
  <c r="G233" i="1"/>
  <c r="I233" i="1"/>
  <c r="I232" i="1" s="1"/>
  <c r="I164" i="1"/>
  <c r="G164" i="1"/>
  <c r="H165" i="1"/>
  <c r="H164" i="1" s="1"/>
  <c r="G166" i="1"/>
  <c r="I165" i="1"/>
  <c r="G165" i="1"/>
  <c r="D25" i="3" l="1"/>
  <c r="G86" i="1"/>
  <c r="D182" i="3" l="1"/>
  <c r="G130" i="1" l="1"/>
  <c r="D257" i="3" l="1"/>
  <c r="D238" i="3"/>
  <c r="G258" i="1"/>
  <c r="G243" i="1"/>
  <c r="D46" i="3" l="1"/>
  <c r="G108" i="1" l="1"/>
  <c r="D266" i="3" l="1"/>
  <c r="F181" i="3"/>
  <c r="F180" i="3" s="1"/>
  <c r="E181" i="3"/>
  <c r="E180" i="3" s="1"/>
  <c r="D181" i="3"/>
  <c r="D180" i="3" s="1"/>
  <c r="D170" i="3" s="1"/>
  <c r="D169" i="3" s="1"/>
  <c r="D157" i="3"/>
  <c r="D269" i="3"/>
  <c r="D275" i="3"/>
  <c r="F274" i="3"/>
  <c r="E274" i="3"/>
  <c r="E273" i="3" s="1"/>
  <c r="F273" i="3"/>
  <c r="D272" i="3"/>
  <c r="D271" i="3" s="1"/>
  <c r="D270" i="3" s="1"/>
  <c r="F271" i="3"/>
  <c r="F270" i="3" s="1"/>
  <c r="E271" i="3"/>
  <c r="E270" i="3" s="1"/>
  <c r="D274" i="3"/>
  <c r="D273" i="3" s="1"/>
  <c r="D252" i="3"/>
  <c r="D254" i="3"/>
  <c r="F256" i="3"/>
  <c r="F255" i="3" s="1"/>
  <c r="E256" i="3"/>
  <c r="E255" i="3" s="1"/>
  <c r="D256" i="3"/>
  <c r="D255" i="3" s="1"/>
  <c r="F253" i="3"/>
  <c r="E253" i="3"/>
  <c r="E252" i="3" s="1"/>
  <c r="F252" i="3"/>
  <c r="D253" i="3"/>
  <c r="G279" i="1"/>
  <c r="G278" i="1" s="1"/>
  <c r="G277" i="1" s="1"/>
  <c r="I278" i="1"/>
  <c r="I277" i="1" s="1"/>
  <c r="H278" i="1"/>
  <c r="H277" i="1" s="1"/>
  <c r="G276" i="1"/>
  <c r="G257" i="1"/>
  <c r="G256" i="1" s="1"/>
  <c r="I257" i="1"/>
  <c r="I256" i="1" s="1"/>
  <c r="H257" i="1"/>
  <c r="H256" i="1" s="1"/>
  <c r="G129" i="1"/>
  <c r="G128" i="1" s="1"/>
  <c r="I129" i="1"/>
  <c r="I128" i="1" s="1"/>
  <c r="H129" i="1"/>
  <c r="H128" i="1" s="1"/>
  <c r="G72" i="1"/>
  <c r="G281" i="1"/>
  <c r="G280" i="1" s="1"/>
  <c r="I281" i="1"/>
  <c r="I280" i="1" s="1"/>
  <c r="H281" i="1"/>
  <c r="H280" i="1" s="1"/>
  <c r="G255" i="1"/>
  <c r="G254" i="1" s="1"/>
  <c r="G253" i="1" s="1"/>
  <c r="I254" i="1"/>
  <c r="I253" i="1" s="1"/>
  <c r="H254" i="1"/>
  <c r="H253" i="1" s="1"/>
  <c r="D248" i="3" l="1"/>
  <c r="F153" i="3"/>
  <c r="F150" i="3" s="1"/>
  <c r="E153" i="3"/>
  <c r="E150" i="3" s="1"/>
  <c r="F148" i="3"/>
  <c r="F147" i="3" s="1"/>
  <c r="E148" i="3"/>
  <c r="E147" i="3" s="1"/>
  <c r="D153" i="3"/>
  <c r="D150" i="3" s="1"/>
  <c r="D148" i="3"/>
  <c r="D147" i="3" s="1"/>
  <c r="G249" i="1"/>
  <c r="G68" i="1"/>
  <c r="G65" i="1" s="1"/>
  <c r="I68" i="1"/>
  <c r="H68" i="1"/>
  <c r="G63" i="1"/>
  <c r="G62" i="1" s="1"/>
  <c r="H63" i="1"/>
  <c r="H62" i="1" s="1"/>
  <c r="I63" i="1"/>
  <c r="I62" i="1" s="1"/>
  <c r="D261" i="3" l="1"/>
  <c r="F260" i="3"/>
  <c r="F259" i="3" s="1"/>
  <c r="E260" i="3"/>
  <c r="E259" i="3"/>
  <c r="D260" i="3"/>
  <c r="D259" i="3" s="1"/>
  <c r="D247" i="3"/>
  <c r="D246" i="3" s="1"/>
  <c r="F247" i="3"/>
  <c r="E247" i="3"/>
  <c r="F246" i="3"/>
  <c r="E246" i="3"/>
  <c r="F245" i="3"/>
  <c r="E245" i="3"/>
  <c r="H248" i="1" l="1"/>
  <c r="H247" i="1" s="1"/>
  <c r="G248" i="1"/>
  <c r="G247" i="1" s="1"/>
  <c r="I248" i="1"/>
  <c r="I247" i="1" s="1"/>
  <c r="H263" i="1"/>
  <c r="H262" i="1" s="1"/>
  <c r="H261" i="1" s="1"/>
  <c r="H260" i="1" s="1"/>
  <c r="G264" i="1"/>
  <c r="G263" i="1" s="1"/>
  <c r="G262" i="1" s="1"/>
  <c r="G261" i="1" s="1"/>
  <c r="G260" i="1" s="1"/>
  <c r="I263" i="1"/>
  <c r="I262" i="1" s="1"/>
  <c r="I261" i="1" s="1"/>
  <c r="I260" i="1" s="1"/>
  <c r="G245" i="1" l="1"/>
  <c r="G244" i="1" s="1"/>
  <c r="H245" i="1"/>
  <c r="H244" i="1" s="1"/>
  <c r="I245" i="1"/>
  <c r="I244" i="1" s="1"/>
  <c r="D85" i="3"/>
  <c r="D168" i="3"/>
  <c r="G192" i="1"/>
  <c r="G93" i="1"/>
  <c r="E205" i="3" l="1"/>
  <c r="E91" i="3"/>
  <c r="D190" i="3"/>
  <c r="D156" i="3"/>
  <c r="D155" i="3" s="1"/>
  <c r="F156" i="3"/>
  <c r="F155" i="3" s="1"/>
  <c r="E156" i="3"/>
  <c r="E155" i="3" s="1"/>
  <c r="H195" i="1"/>
  <c r="H203" i="1"/>
  <c r="G217" i="1"/>
  <c r="G71" i="1"/>
  <c r="G70" i="1" s="1"/>
  <c r="H71" i="1"/>
  <c r="H70" i="1" s="1"/>
  <c r="I71" i="1"/>
  <c r="I70" i="1" s="1"/>
  <c r="F214" i="3" l="1"/>
  <c r="E214" i="3"/>
  <c r="F225" i="3"/>
  <c r="E225" i="3"/>
  <c r="I155" i="1"/>
  <c r="H155" i="1"/>
  <c r="F188" i="3" l="1"/>
  <c r="F118" i="3"/>
  <c r="E118" i="3"/>
  <c r="I29" i="1"/>
  <c r="I220" i="1"/>
  <c r="H220" i="1"/>
  <c r="G220" i="1"/>
  <c r="I213" i="1"/>
  <c r="H213" i="1"/>
  <c r="I78" i="1"/>
  <c r="H78" i="1"/>
  <c r="I39" i="1"/>
  <c r="H39" i="1"/>
  <c r="I23" i="1"/>
  <c r="H23" i="1"/>
  <c r="F127" i="3"/>
  <c r="E127" i="3"/>
  <c r="F276" i="3"/>
  <c r="E276" i="3"/>
  <c r="F269" i="3"/>
  <c r="E269" i="3"/>
  <c r="E265" i="3"/>
  <c r="F238" i="3"/>
  <c r="E238" i="3"/>
  <c r="F232" i="3"/>
  <c r="E232" i="3"/>
  <c r="D210" i="3"/>
  <c r="F205" i="3"/>
  <c r="F199" i="3"/>
  <c r="E199" i="3"/>
  <c r="D199" i="3"/>
  <c r="E188" i="3"/>
  <c r="F186" i="3"/>
  <c r="E186" i="3"/>
  <c r="F162" i="3"/>
  <c r="E162" i="3"/>
  <c r="F142" i="3"/>
  <c r="E142" i="3"/>
  <c r="D142" i="3"/>
  <c r="F128" i="3"/>
  <c r="E128" i="3"/>
  <c r="F120" i="3"/>
  <c r="E120" i="3"/>
  <c r="F111" i="3"/>
  <c r="E111" i="3"/>
  <c r="F75" i="3"/>
  <c r="E75" i="3"/>
  <c r="D75" i="3"/>
  <c r="F71" i="3"/>
  <c r="E71" i="3"/>
  <c r="D71" i="3"/>
  <c r="F50" i="3"/>
  <c r="E50" i="3"/>
  <c r="F40" i="3"/>
  <c r="E40" i="3"/>
  <c r="D40" i="3"/>
  <c r="F25" i="3"/>
  <c r="E25" i="3"/>
  <c r="I215" i="1" l="1"/>
  <c r="H215" i="1"/>
  <c r="I31" i="1"/>
  <c r="I243" i="1"/>
  <c r="H243" i="1"/>
  <c r="I203" i="1"/>
  <c r="I188" i="1"/>
  <c r="I86" i="1"/>
  <c r="H31" i="1" l="1"/>
  <c r="H86" i="1"/>
  <c r="H188" i="1"/>
  <c r="H270" i="1"/>
  <c r="I149" i="1" l="1"/>
  <c r="H149" i="1"/>
  <c r="H276" i="1" l="1"/>
  <c r="I237" i="1"/>
  <c r="H237" i="1"/>
  <c r="G237" i="1"/>
  <c r="G208" i="1"/>
  <c r="G188" i="1"/>
  <c r="I159" i="1"/>
  <c r="H159" i="1"/>
  <c r="I105" i="1"/>
  <c r="H105" i="1"/>
  <c r="G105" i="1"/>
  <c r="I51" i="1"/>
  <c r="H51" i="1"/>
  <c r="G51" i="1"/>
  <c r="D45" i="3" l="1"/>
  <c r="D44" i="3" s="1"/>
  <c r="E45" i="3"/>
  <c r="E44" i="3" s="1"/>
  <c r="F45" i="3"/>
  <c r="F44" i="3" s="1"/>
  <c r="G107" i="1"/>
  <c r="G106" i="1" s="1"/>
  <c r="H107" i="1"/>
  <c r="H106" i="1" s="1"/>
  <c r="I107" i="1"/>
  <c r="I106" i="1" s="1"/>
  <c r="D172" i="3" l="1"/>
  <c r="D171" i="3" s="1"/>
  <c r="F172" i="3"/>
  <c r="F171" i="3" s="1"/>
  <c r="E172" i="3"/>
  <c r="E171" i="3" s="1"/>
  <c r="G132" i="1"/>
  <c r="G131" i="1" s="1"/>
  <c r="I132" i="1"/>
  <c r="I131" i="1" s="1"/>
  <c r="H132" i="1"/>
  <c r="H131" i="1" s="1"/>
  <c r="D178" i="3" l="1"/>
  <c r="D177" i="3" s="1"/>
  <c r="F178" i="3"/>
  <c r="F177" i="3" s="1"/>
  <c r="E178" i="3"/>
  <c r="E177" i="3" s="1"/>
  <c r="D175" i="3"/>
  <c r="D174" i="3" s="1"/>
  <c r="F175" i="3"/>
  <c r="F174" i="3" s="1"/>
  <c r="E175" i="3"/>
  <c r="E174" i="3" s="1"/>
  <c r="F37" i="3"/>
  <c r="F36" i="3" s="1"/>
  <c r="F35" i="3" s="1"/>
  <c r="E37" i="3"/>
  <c r="E36" i="3" s="1"/>
  <c r="E35" i="3" s="1"/>
  <c r="D36" i="3"/>
  <c r="D35" i="3" s="1"/>
  <c r="I138" i="1"/>
  <c r="I137" i="1" s="1"/>
  <c r="H138" i="1"/>
  <c r="H137" i="1" s="1"/>
  <c r="G138" i="1"/>
  <c r="G137" i="1" s="1"/>
  <c r="G135" i="1"/>
  <c r="G134" i="1" s="1"/>
  <c r="H135" i="1"/>
  <c r="H134" i="1" s="1"/>
  <c r="I135" i="1"/>
  <c r="I134" i="1" s="1"/>
  <c r="G101" i="1"/>
  <c r="G100" i="1" s="1"/>
  <c r="I102" i="1"/>
  <c r="I101" i="1" s="1"/>
  <c r="I100" i="1" s="1"/>
  <c r="H102" i="1"/>
  <c r="H101" i="1"/>
  <c r="H100" i="1" s="1"/>
  <c r="H127" i="1" l="1"/>
  <c r="H126" i="1" s="1"/>
  <c r="I127" i="1"/>
  <c r="I126" i="1" s="1"/>
  <c r="G127" i="1"/>
  <c r="G126" i="1" s="1"/>
  <c r="F170" i="3"/>
  <c r="F169" i="3" s="1"/>
  <c r="E170" i="3"/>
  <c r="E169" i="3" s="1"/>
  <c r="F81" i="3" l="1"/>
  <c r="F80" i="3" s="1"/>
  <c r="E81" i="3"/>
  <c r="E80" i="3" s="1"/>
  <c r="D81" i="3"/>
  <c r="D80" i="3" s="1"/>
  <c r="F104" i="3"/>
  <c r="F103" i="3" s="1"/>
  <c r="E104" i="3"/>
  <c r="E103" i="3" s="1"/>
  <c r="D104" i="3"/>
  <c r="D103" i="3" s="1"/>
  <c r="I125" i="1"/>
  <c r="I124" i="1" s="1"/>
  <c r="I123" i="1" s="1"/>
  <c r="H125" i="1"/>
  <c r="H124" i="1" s="1"/>
  <c r="H123" i="1" s="1"/>
  <c r="G124" i="1"/>
  <c r="G123" i="1" s="1"/>
  <c r="I115" i="1"/>
  <c r="I114" i="1" s="1"/>
  <c r="I113" i="1" s="1"/>
  <c r="H115" i="1"/>
  <c r="H114" i="1" s="1"/>
  <c r="H113" i="1" s="1"/>
  <c r="G114" i="1"/>
  <c r="G113" i="1" s="1"/>
  <c r="E58" i="3" l="1"/>
  <c r="E57" i="3" s="1"/>
  <c r="D58" i="3"/>
  <c r="D57" i="3" s="1"/>
  <c r="F58" i="3"/>
  <c r="F57" i="3" s="1"/>
  <c r="G227" i="1"/>
  <c r="G226" i="1" s="1"/>
  <c r="H227" i="1"/>
  <c r="H226" i="1" s="1"/>
  <c r="I227" i="1"/>
  <c r="I226" i="1" s="1"/>
  <c r="G118" i="1"/>
  <c r="G92" i="1" l="1"/>
  <c r="G91" i="1" s="1"/>
  <c r="G90" i="1" s="1"/>
  <c r="I92" i="1"/>
  <c r="I91" i="1" s="1"/>
  <c r="I90" i="1" s="1"/>
  <c r="H92" i="1"/>
  <c r="H91" i="1" s="1"/>
  <c r="H90" i="1" s="1"/>
  <c r="D101" i="3" l="1"/>
  <c r="D100" i="3" s="1"/>
  <c r="D99" i="3" s="1"/>
  <c r="F101" i="3"/>
  <c r="F100" i="3" s="1"/>
  <c r="F99" i="3" s="1"/>
  <c r="E101" i="3"/>
  <c r="E100" i="3" s="1"/>
  <c r="E99" i="3" s="1"/>
  <c r="I122" i="1"/>
  <c r="I121" i="1" s="1"/>
  <c r="I120" i="1" s="1"/>
  <c r="I119" i="1" s="1"/>
  <c r="H122" i="1"/>
  <c r="H121" i="1" s="1"/>
  <c r="H120" i="1" s="1"/>
  <c r="H119" i="1" s="1"/>
  <c r="G121" i="1"/>
  <c r="G120" i="1" s="1"/>
  <c r="G119" i="1" s="1"/>
  <c r="D78" i="3" l="1"/>
  <c r="D77" i="3" s="1"/>
  <c r="F78" i="3"/>
  <c r="F77" i="3" s="1"/>
  <c r="E78" i="3"/>
  <c r="E77" i="3" s="1"/>
  <c r="I112" i="1"/>
  <c r="I111" i="1" s="1"/>
  <c r="I110" i="1" s="1"/>
  <c r="H112" i="1"/>
  <c r="H111" i="1" s="1"/>
  <c r="H110" i="1" s="1"/>
  <c r="G111" i="1"/>
  <c r="G110" i="1" s="1"/>
  <c r="D206" i="3" l="1"/>
  <c r="F206" i="3"/>
  <c r="E206" i="3"/>
  <c r="D145" i="3"/>
  <c r="G275" i="1"/>
  <c r="G274" i="1" s="1"/>
  <c r="G273" i="1" s="1"/>
  <c r="G197" i="1" l="1"/>
  <c r="G196" i="1" s="1"/>
  <c r="L198" i="1"/>
  <c r="K198" i="1"/>
  <c r="I197" i="1"/>
  <c r="I196" i="1" s="1"/>
  <c r="H197" i="1"/>
  <c r="H196" i="1" s="1"/>
  <c r="G204" i="1" l="1"/>
  <c r="I204" i="1"/>
  <c r="H204" i="1"/>
  <c r="G98" i="1" l="1"/>
  <c r="G97" i="1" s="1"/>
  <c r="I99" i="1"/>
  <c r="I98" i="1" s="1"/>
  <c r="I97" i="1" s="1"/>
  <c r="H99" i="1"/>
  <c r="H98" i="1" s="1"/>
  <c r="H97" i="1" s="1"/>
  <c r="F265" i="3" l="1"/>
  <c r="F220" i="3"/>
  <c r="E220" i="3"/>
  <c r="F201" i="3"/>
  <c r="E201" i="3"/>
  <c r="D201" i="3"/>
  <c r="F190" i="3"/>
  <c r="E190" i="3"/>
  <c r="F146" i="3"/>
  <c r="E146" i="3"/>
  <c r="F138" i="3"/>
  <c r="E138" i="3"/>
  <c r="D138" i="3"/>
  <c r="F134" i="3"/>
  <c r="E134" i="3"/>
  <c r="D134" i="3"/>
  <c r="F130" i="3"/>
  <c r="E130" i="3"/>
  <c r="F122" i="3"/>
  <c r="E122" i="3"/>
  <c r="D122" i="3"/>
  <c r="G22" i="1"/>
  <c r="F65" i="3"/>
  <c r="E65" i="3"/>
  <c r="F28" i="3"/>
  <c r="E28" i="3"/>
  <c r="D31" i="3"/>
  <c r="E31" i="3"/>
  <c r="E30" i="3" s="1"/>
  <c r="F31" i="3"/>
  <c r="F30" i="3" s="1"/>
  <c r="D33" i="3"/>
  <c r="E33" i="3"/>
  <c r="F33" i="3"/>
  <c r="D42" i="3"/>
  <c r="D41" i="3" s="1"/>
  <c r="E42" i="3"/>
  <c r="E41" i="3" s="1"/>
  <c r="F42" i="3"/>
  <c r="F41" i="3" s="1"/>
  <c r="E52" i="3"/>
  <c r="E51" i="3" s="1"/>
  <c r="F52" i="3"/>
  <c r="F51" i="3" s="1"/>
  <c r="D52" i="3"/>
  <c r="D51" i="3" s="1"/>
  <c r="E55" i="3"/>
  <c r="E54" i="3" s="1"/>
  <c r="F55" i="3"/>
  <c r="F54" i="3" s="1"/>
  <c r="D55" i="3"/>
  <c r="D54" i="3" s="1"/>
  <c r="D28" i="3"/>
  <c r="D30" i="3" l="1"/>
  <c r="I276" i="1" l="1"/>
  <c r="I270" i="1"/>
  <c r="I222" i="1" l="1"/>
  <c r="H222" i="1"/>
  <c r="G222" i="1"/>
  <c r="I170" i="1"/>
  <c r="H170" i="1"/>
  <c r="I184" i="1"/>
  <c r="H184" i="1"/>
  <c r="I217" i="1"/>
  <c r="H217" i="1"/>
  <c r="I41" i="1"/>
  <c r="H41" i="1"/>
  <c r="I89" i="1" l="1"/>
  <c r="H89" i="1"/>
  <c r="G89" i="1"/>
  <c r="I61" i="1"/>
  <c r="I45" i="1"/>
  <c r="H45" i="1"/>
  <c r="G45" i="1"/>
  <c r="D243" i="3" l="1"/>
  <c r="D242" i="3" s="1"/>
  <c r="F243" i="3"/>
  <c r="F242" i="3" s="1"/>
  <c r="E243" i="3"/>
  <c r="E242" i="3" s="1"/>
  <c r="D233" i="3" l="1"/>
  <c r="E233" i="3"/>
  <c r="F233" i="3"/>
  <c r="D98" i="3"/>
  <c r="G160" i="1" l="1"/>
  <c r="I160" i="1"/>
  <c r="H160" i="1"/>
  <c r="D88" i="3" l="1"/>
  <c r="D87" i="3" l="1"/>
  <c r="D86" i="3" s="1"/>
  <c r="F87" i="3"/>
  <c r="F86" i="3" s="1"/>
  <c r="E87" i="3"/>
  <c r="E86" i="3" s="1"/>
  <c r="D84" i="3"/>
  <c r="D83" i="3" s="1"/>
  <c r="F84" i="3"/>
  <c r="F83" i="3" s="1"/>
  <c r="E84" i="3"/>
  <c r="E83" i="3" s="1"/>
  <c r="G194" i="1"/>
  <c r="G193" i="1" s="1"/>
  <c r="L195" i="1"/>
  <c r="K195" i="1"/>
  <c r="I194" i="1"/>
  <c r="I193" i="1" s="1"/>
  <c r="H194" i="1"/>
  <c r="H193" i="1" s="1"/>
  <c r="G191" i="1" l="1"/>
  <c r="G190" i="1" s="1"/>
  <c r="G189" i="1" s="1"/>
  <c r="L192" i="1"/>
  <c r="K192" i="1"/>
  <c r="I191" i="1"/>
  <c r="I190" i="1" s="1"/>
  <c r="I189" i="1" s="1"/>
  <c r="H191" i="1"/>
  <c r="H190" i="1" s="1"/>
  <c r="H189" i="1" s="1"/>
  <c r="F215" i="3" l="1"/>
  <c r="E215" i="3"/>
  <c r="I150" i="1"/>
  <c r="H150" i="1"/>
  <c r="G150" i="1"/>
  <c r="D221" i="3" l="1"/>
  <c r="E221" i="3"/>
  <c r="F221" i="3"/>
  <c r="G171" i="1"/>
  <c r="I171" i="1"/>
  <c r="H171" i="1"/>
  <c r="E167" i="3" l="1"/>
  <c r="E166" i="3" s="1"/>
  <c r="E165" i="3" s="1"/>
  <c r="F167" i="3"/>
  <c r="F166" i="3" s="1"/>
  <c r="F165" i="3" s="1"/>
  <c r="D167" i="3"/>
  <c r="D166" i="3" s="1"/>
  <c r="D165" i="3" s="1"/>
  <c r="D127" i="3" l="1"/>
  <c r="D215" i="3" l="1"/>
  <c r="F240" i="3" l="1"/>
  <c r="F239" i="3" s="1"/>
  <c r="E240" i="3"/>
  <c r="E239" i="3" s="1"/>
  <c r="D240" i="3"/>
  <c r="D239" i="3" s="1"/>
  <c r="I117" i="1" l="1"/>
  <c r="I116" i="1" s="1"/>
  <c r="I109" i="1" s="1"/>
  <c r="H117" i="1"/>
  <c r="H116" i="1" s="1"/>
  <c r="H109" i="1" s="1"/>
  <c r="G117" i="1"/>
  <c r="G116" i="1" s="1"/>
  <c r="G109" i="1" s="1"/>
  <c r="I236" i="1" l="1"/>
  <c r="I235" i="1" s="1"/>
  <c r="I225" i="1" s="1"/>
  <c r="H236" i="1"/>
  <c r="H235" i="1" s="1"/>
  <c r="H225" i="1" s="1"/>
  <c r="G236" i="1"/>
  <c r="G235" i="1" s="1"/>
  <c r="I224" i="1" l="1"/>
  <c r="I223" i="1" s="1"/>
  <c r="H224" i="1"/>
  <c r="H223" i="1" s="1"/>
  <c r="G224" i="1"/>
  <c r="D209" i="3"/>
  <c r="D208" i="3" s="1"/>
  <c r="E209" i="3"/>
  <c r="E208" i="3" s="1"/>
  <c r="F209" i="3"/>
  <c r="F208" i="3" s="1"/>
  <c r="H28" i="1" l="1"/>
  <c r="I219" i="1" l="1"/>
  <c r="H219" i="1"/>
  <c r="G214" i="1"/>
  <c r="I221" i="1"/>
  <c r="H221" i="1"/>
  <c r="G221" i="1"/>
  <c r="I216" i="1"/>
  <c r="H216" i="1"/>
  <c r="G216" i="1"/>
  <c r="H275" i="1"/>
  <c r="H274" i="1" s="1"/>
  <c r="G272" i="1"/>
  <c r="G271" i="1" s="1"/>
  <c r="I275" i="1"/>
  <c r="I274" i="1" s="1"/>
  <c r="I269" i="1"/>
  <c r="I268" i="1" s="1"/>
  <c r="I267" i="1" s="1"/>
  <c r="I266" i="1" s="1"/>
  <c r="I265" i="1" s="1"/>
  <c r="I259" i="1" s="1"/>
  <c r="H269" i="1"/>
  <c r="H268" i="1" s="1"/>
  <c r="H267" i="1" s="1"/>
  <c r="H266" i="1" s="1"/>
  <c r="H265" i="1" s="1"/>
  <c r="H259" i="1" s="1"/>
  <c r="G269" i="1"/>
  <c r="G268" i="1" s="1"/>
  <c r="G267" i="1" s="1"/>
  <c r="G266" i="1" s="1"/>
  <c r="G265" i="1" s="1"/>
  <c r="G259" i="1" s="1"/>
  <c r="I242" i="1"/>
  <c r="I241" i="1" s="1"/>
  <c r="I240" i="1" s="1"/>
  <c r="G242" i="1"/>
  <c r="G241" i="1" s="1"/>
  <c r="G240" i="1" s="1"/>
  <c r="H242" i="1"/>
  <c r="H241" i="1" s="1"/>
  <c r="H240" i="1" s="1"/>
  <c r="G219" i="1"/>
  <c r="F70" i="3"/>
  <c r="F69" i="3" s="1"/>
  <c r="E70" i="3"/>
  <c r="E69" i="3" s="1"/>
  <c r="D70" i="3"/>
  <c r="D69" i="3" s="1"/>
  <c r="I214" i="1"/>
  <c r="H214" i="1"/>
  <c r="I212" i="1"/>
  <c r="H212" i="1"/>
  <c r="G212" i="1"/>
  <c r="I273" i="1" l="1"/>
  <c r="I272" i="1" s="1"/>
  <c r="I271" i="1" s="1"/>
  <c r="H273" i="1"/>
  <c r="H272" i="1" s="1"/>
  <c r="H271" i="1" s="1"/>
  <c r="I218" i="1"/>
  <c r="H239" i="1"/>
  <c r="H238" i="1" s="1"/>
  <c r="I239" i="1"/>
  <c r="I238" i="1" s="1"/>
  <c r="G239" i="1"/>
  <c r="G238" i="1" s="1"/>
  <c r="G218" i="1"/>
  <c r="H218" i="1"/>
  <c r="H211" i="1"/>
  <c r="G211" i="1"/>
  <c r="I211" i="1"/>
  <c r="I210" i="1" s="1"/>
  <c r="I209" i="1" s="1"/>
  <c r="F97" i="3"/>
  <c r="F96" i="3" s="1"/>
  <c r="F95" i="3" s="1"/>
  <c r="E97" i="3"/>
  <c r="E96" i="3" s="1"/>
  <c r="E95" i="3" s="1"/>
  <c r="D97" i="3"/>
  <c r="D96" i="3" s="1"/>
  <c r="D95" i="3" s="1"/>
  <c r="G207" i="1"/>
  <c r="G206" i="1" s="1"/>
  <c r="I202" i="1"/>
  <c r="I201" i="1" s="1"/>
  <c r="H202" i="1"/>
  <c r="H201" i="1" s="1"/>
  <c r="I207" i="1"/>
  <c r="I206" i="1" s="1"/>
  <c r="H207" i="1"/>
  <c r="H206" i="1" s="1"/>
  <c r="G202" i="1"/>
  <c r="G201" i="1" s="1"/>
  <c r="E93" i="3"/>
  <c r="E92" i="3" s="1"/>
  <c r="F93" i="3"/>
  <c r="F92" i="3" s="1"/>
  <c r="D93" i="3"/>
  <c r="D92" i="3" s="1"/>
  <c r="F90" i="3"/>
  <c r="F89" i="3" s="1"/>
  <c r="E90" i="3"/>
  <c r="E89" i="3" s="1"/>
  <c r="E76" i="3" s="1"/>
  <c r="D90" i="3"/>
  <c r="D89" i="3" s="1"/>
  <c r="I187" i="1"/>
  <c r="I186" i="1" s="1"/>
  <c r="I185" i="1" s="1"/>
  <c r="H187" i="1"/>
  <c r="H186" i="1" s="1"/>
  <c r="H185" i="1" s="1"/>
  <c r="G187" i="1"/>
  <c r="G186" i="1" s="1"/>
  <c r="G185" i="1" s="1"/>
  <c r="I183" i="1"/>
  <c r="I182" i="1" s="1"/>
  <c r="H183" i="1"/>
  <c r="H182" i="1" s="1"/>
  <c r="G183" i="1"/>
  <c r="G182" i="1" s="1"/>
  <c r="H180" i="1"/>
  <c r="H179" i="1" s="1"/>
  <c r="G180" i="1"/>
  <c r="G179" i="1" s="1"/>
  <c r="I180" i="1"/>
  <c r="I179" i="1" s="1"/>
  <c r="I175" i="1"/>
  <c r="I174" i="1" s="1"/>
  <c r="I173" i="1" s="1"/>
  <c r="H175" i="1"/>
  <c r="H174" i="1" s="1"/>
  <c r="H173" i="1" s="1"/>
  <c r="G175" i="1"/>
  <c r="G174" i="1" s="1"/>
  <c r="G173" i="1" s="1"/>
  <c r="G163" i="1" s="1"/>
  <c r="I169" i="1"/>
  <c r="I168" i="1" s="1"/>
  <c r="I167" i="1" s="1"/>
  <c r="H169" i="1"/>
  <c r="H168" i="1" s="1"/>
  <c r="H167" i="1" s="1"/>
  <c r="G169" i="1"/>
  <c r="G168" i="1" s="1"/>
  <c r="G167" i="1" s="1"/>
  <c r="I154" i="1"/>
  <c r="I153" i="1" s="1"/>
  <c r="H154" i="1"/>
  <c r="H153" i="1" s="1"/>
  <c r="G154" i="1"/>
  <c r="G153" i="1" s="1"/>
  <c r="I158" i="1"/>
  <c r="H158" i="1"/>
  <c r="G158" i="1"/>
  <c r="I148" i="1"/>
  <c r="I147" i="1" s="1"/>
  <c r="H148" i="1"/>
  <c r="H147" i="1" s="1"/>
  <c r="G148" i="1"/>
  <c r="G147" i="1" s="1"/>
  <c r="I104" i="1"/>
  <c r="I103" i="1" s="1"/>
  <c r="I96" i="1" s="1"/>
  <c r="H104" i="1"/>
  <c r="H103" i="1" s="1"/>
  <c r="H96" i="1" s="1"/>
  <c r="G104" i="1"/>
  <c r="G103" i="1" s="1"/>
  <c r="I85" i="1"/>
  <c r="I84" i="1" s="1"/>
  <c r="H85" i="1"/>
  <c r="H84" i="1" s="1"/>
  <c r="G85" i="1"/>
  <c r="G84" i="1" s="1"/>
  <c r="I88" i="1"/>
  <c r="I87" i="1" s="1"/>
  <c r="H88" i="1"/>
  <c r="H87" i="1" s="1"/>
  <c r="G88" i="1"/>
  <c r="G87" i="1" s="1"/>
  <c r="H77" i="1"/>
  <c r="G79" i="1"/>
  <c r="G77" i="1"/>
  <c r="I79" i="1"/>
  <c r="H79" i="1"/>
  <c r="I77" i="1"/>
  <c r="I60" i="1"/>
  <c r="I59" i="1" s="1"/>
  <c r="H60" i="1"/>
  <c r="H59" i="1" s="1"/>
  <c r="G60" i="1"/>
  <c r="G59" i="1" s="1"/>
  <c r="G58" i="1" s="1"/>
  <c r="I55" i="1"/>
  <c r="I54" i="1" s="1"/>
  <c r="I53" i="1" s="1"/>
  <c r="I52" i="1" s="1"/>
  <c r="H55" i="1"/>
  <c r="H54" i="1" s="1"/>
  <c r="H53" i="1" s="1"/>
  <c r="H52" i="1" s="1"/>
  <c r="G55" i="1"/>
  <c r="G54" i="1" s="1"/>
  <c r="G53" i="1" s="1"/>
  <c r="G52" i="1" s="1"/>
  <c r="I50" i="1"/>
  <c r="H50" i="1"/>
  <c r="G50" i="1"/>
  <c r="I44" i="1"/>
  <c r="I43" i="1" s="1"/>
  <c r="I42" i="1" s="1"/>
  <c r="H44" i="1"/>
  <c r="H43" i="1" s="1"/>
  <c r="H42" i="1" s="1"/>
  <c r="G44" i="1"/>
  <c r="G43" i="1" s="1"/>
  <c r="G42" i="1" s="1"/>
  <c r="I40" i="1"/>
  <c r="H40" i="1"/>
  <c r="I38" i="1"/>
  <c r="H38" i="1"/>
  <c r="G40" i="1"/>
  <c r="G38" i="1"/>
  <c r="I32" i="1"/>
  <c r="H32" i="1"/>
  <c r="G32" i="1"/>
  <c r="I30" i="1"/>
  <c r="H30" i="1"/>
  <c r="G30" i="1"/>
  <c r="I28" i="1"/>
  <c r="G28" i="1"/>
  <c r="I22" i="1"/>
  <c r="I21" i="1" s="1"/>
  <c r="I20" i="1" s="1"/>
  <c r="I19" i="1" s="1"/>
  <c r="I18" i="1" s="1"/>
  <c r="H22" i="1"/>
  <c r="H21" i="1" s="1"/>
  <c r="H20" i="1" s="1"/>
  <c r="H19" i="1" s="1"/>
  <c r="H18" i="1" s="1"/>
  <c r="G21" i="1"/>
  <c r="G20" i="1" s="1"/>
  <c r="G19" i="1" s="1"/>
  <c r="G18" i="1" s="1"/>
  <c r="G146" i="1" l="1"/>
  <c r="H163" i="1"/>
  <c r="H162" i="1" s="1"/>
  <c r="I163" i="1"/>
  <c r="I162" i="1" s="1"/>
  <c r="G96" i="1"/>
  <c r="G95" i="1" s="1"/>
  <c r="G57" i="1"/>
  <c r="I58" i="1"/>
  <c r="I57" i="1" s="1"/>
  <c r="H58" i="1"/>
  <c r="H57" i="1" s="1"/>
  <c r="D76" i="3"/>
  <c r="H95" i="1"/>
  <c r="I95" i="1"/>
  <c r="F76" i="3"/>
  <c r="H49" i="1"/>
  <c r="H48" i="1" s="1"/>
  <c r="H47" i="1" s="1"/>
  <c r="H46" i="1" s="1"/>
  <c r="I49" i="1"/>
  <c r="I48" i="1" s="1"/>
  <c r="I47" i="1" s="1"/>
  <c r="I46" i="1" s="1"/>
  <c r="G49" i="1"/>
  <c r="G48" i="1" s="1"/>
  <c r="G47" i="1" s="1"/>
  <c r="G46" i="1" s="1"/>
  <c r="G157" i="1"/>
  <c r="G156" i="1" s="1"/>
  <c r="G83" i="1"/>
  <c r="G82" i="1" s="1"/>
  <c r="H157" i="1"/>
  <c r="H156" i="1" s="1"/>
  <c r="H288" i="1" s="1"/>
  <c r="I157" i="1"/>
  <c r="I156" i="1" s="1"/>
  <c r="I288" i="1" s="1"/>
  <c r="G200" i="1"/>
  <c r="G199" i="1" s="1"/>
  <c r="G210" i="1"/>
  <c r="G209" i="1" s="1"/>
  <c r="H210" i="1"/>
  <c r="H209" i="1" s="1"/>
  <c r="G162" i="1"/>
  <c r="G178" i="1"/>
  <c r="I178" i="1"/>
  <c r="H178" i="1"/>
  <c r="G27" i="1"/>
  <c r="I146" i="1"/>
  <c r="H200" i="1"/>
  <c r="H199" i="1" s="1"/>
  <c r="I200" i="1"/>
  <c r="I199" i="1" s="1"/>
  <c r="H146" i="1"/>
  <c r="H142" i="1" s="1"/>
  <c r="I83" i="1"/>
  <c r="I82" i="1" s="1"/>
  <c r="H83" i="1"/>
  <c r="H82" i="1" s="1"/>
  <c r="I76" i="1"/>
  <c r="I75" i="1" s="1"/>
  <c r="I74" i="1" s="1"/>
  <c r="I73" i="1" s="1"/>
  <c r="H76" i="1"/>
  <c r="H75" i="1" s="1"/>
  <c r="H74" i="1" s="1"/>
  <c r="H73" i="1" s="1"/>
  <c r="G76" i="1"/>
  <c r="G75" i="1" s="1"/>
  <c r="G74" i="1" s="1"/>
  <c r="G73" i="1" s="1"/>
  <c r="I37" i="1"/>
  <c r="I287" i="1" s="1"/>
  <c r="I290" i="1" s="1"/>
  <c r="H37" i="1"/>
  <c r="H287" i="1" s="1"/>
  <c r="H290" i="1" s="1"/>
  <c r="G37" i="1"/>
  <c r="G287" i="1" s="1"/>
  <c r="G290" i="1" s="1"/>
  <c r="I142" i="1" l="1"/>
  <c r="I141" i="1" s="1"/>
  <c r="G288" i="1"/>
  <c r="G142" i="1"/>
  <c r="G141" i="1" s="1"/>
  <c r="G177" i="1"/>
  <c r="I177" i="1"/>
  <c r="H177" i="1"/>
  <c r="G81" i="1"/>
  <c r="I81" i="1"/>
  <c r="H81" i="1"/>
  <c r="H141" i="1"/>
  <c r="H26" i="1"/>
  <c r="H25" i="1" s="1"/>
  <c r="H24" i="1" s="1"/>
  <c r="H17" i="1" s="1"/>
  <c r="I26" i="1"/>
  <c r="I25" i="1" s="1"/>
  <c r="I24" i="1" s="1"/>
  <c r="I17" i="1" s="1"/>
  <c r="G25" i="1"/>
  <c r="G24" i="1" s="1"/>
  <c r="F268" i="3"/>
  <c r="F267" i="3" s="1"/>
  <c r="F266" i="3" s="1"/>
  <c r="F264" i="3"/>
  <c r="F263" i="3" s="1"/>
  <c r="F262" i="3" s="1"/>
  <c r="F258" i="3" s="1"/>
  <c r="F237" i="3"/>
  <c r="F236" i="3" s="1"/>
  <c r="F235" i="3" s="1"/>
  <c r="F231" i="3"/>
  <c r="F227" i="3"/>
  <c r="F226" i="3" s="1"/>
  <c r="F224" i="3"/>
  <c r="F223" i="3" s="1"/>
  <c r="F219" i="3"/>
  <c r="F218" i="3" s="1"/>
  <c r="F213" i="3"/>
  <c r="F212" i="3" s="1"/>
  <c r="F204" i="3"/>
  <c r="F200" i="3"/>
  <c r="F198" i="3"/>
  <c r="F189" i="3"/>
  <c r="F187" i="3"/>
  <c r="F185" i="3"/>
  <c r="F163" i="3"/>
  <c r="F161" i="3"/>
  <c r="F145" i="3"/>
  <c r="F144" i="3" s="1"/>
  <c r="F143" i="3" s="1"/>
  <c r="F141" i="3"/>
  <c r="F140" i="3" s="1"/>
  <c r="F139" i="3" s="1"/>
  <c r="F137" i="3"/>
  <c r="F136" i="3" s="1"/>
  <c r="F133" i="3"/>
  <c r="F132" i="3" s="1"/>
  <c r="F131" i="3" s="1"/>
  <c r="F129" i="3"/>
  <c r="F121" i="3"/>
  <c r="F119" i="3"/>
  <c r="F117" i="3"/>
  <c r="F110" i="3"/>
  <c r="F74" i="3"/>
  <c r="F73" i="3" s="1"/>
  <c r="F72" i="3" s="1"/>
  <c r="F49" i="3"/>
  <c r="F48" i="3" s="1"/>
  <c r="F39" i="3"/>
  <c r="F38" i="3" s="1"/>
  <c r="F29" i="3" s="1"/>
  <c r="F27" i="3"/>
  <c r="F26" i="3" s="1"/>
  <c r="F24" i="3"/>
  <c r="F23" i="3" s="1"/>
  <c r="E268" i="3"/>
  <c r="E267" i="3" s="1"/>
  <c r="E266" i="3" s="1"/>
  <c r="E264" i="3"/>
  <c r="E263" i="3" s="1"/>
  <c r="E262" i="3" s="1"/>
  <c r="E258" i="3" s="1"/>
  <c r="E237" i="3"/>
  <c r="E236" i="3" s="1"/>
  <c r="E235" i="3" s="1"/>
  <c r="E231" i="3"/>
  <c r="E227" i="3"/>
  <c r="E226" i="3" s="1"/>
  <c r="E224" i="3"/>
  <c r="E223" i="3" s="1"/>
  <c r="E219" i="3"/>
  <c r="E218" i="3" s="1"/>
  <c r="E213" i="3"/>
  <c r="E212" i="3" s="1"/>
  <c r="E204" i="3"/>
  <c r="E200" i="3"/>
  <c r="E198" i="3"/>
  <c r="E189" i="3"/>
  <c r="E187" i="3"/>
  <c r="E185" i="3"/>
  <c r="E163" i="3"/>
  <c r="E161" i="3"/>
  <c r="E145" i="3"/>
  <c r="E144" i="3" s="1"/>
  <c r="E143" i="3" s="1"/>
  <c r="E141" i="3"/>
  <c r="E140" i="3" s="1"/>
  <c r="E139" i="3" s="1"/>
  <c r="E137" i="3"/>
  <c r="E136" i="3" s="1"/>
  <c r="E133" i="3"/>
  <c r="E132" i="3" s="1"/>
  <c r="E131" i="3" s="1"/>
  <c r="E129" i="3"/>
  <c r="E121" i="3"/>
  <c r="E119" i="3"/>
  <c r="E117" i="3"/>
  <c r="E110" i="3"/>
  <c r="E74" i="3"/>
  <c r="E73" i="3" s="1"/>
  <c r="E72" i="3" s="1"/>
  <c r="E49" i="3"/>
  <c r="E48" i="3" s="1"/>
  <c r="E39" i="3"/>
  <c r="E38" i="3" s="1"/>
  <c r="E29" i="3" s="1"/>
  <c r="E27" i="3"/>
  <c r="E26" i="3" s="1"/>
  <c r="E24" i="3"/>
  <c r="E23" i="3" s="1"/>
  <c r="D268" i="3"/>
  <c r="D267" i="3" s="1"/>
  <c r="D264" i="3"/>
  <c r="D263" i="3" s="1"/>
  <c r="D262" i="3" s="1"/>
  <c r="D258" i="3" s="1"/>
  <c r="D237" i="3"/>
  <c r="D236" i="3" s="1"/>
  <c r="D235" i="3" s="1"/>
  <c r="D231" i="3"/>
  <c r="D227" i="3"/>
  <c r="D226" i="3" s="1"/>
  <c r="D224" i="3"/>
  <c r="D223" i="3" s="1"/>
  <c r="D219" i="3"/>
  <c r="D218" i="3" s="1"/>
  <c r="D213" i="3"/>
  <c r="D212" i="3" s="1"/>
  <c r="D204" i="3"/>
  <c r="D200" i="3"/>
  <c r="D198" i="3"/>
  <c r="D189" i="3"/>
  <c r="D187" i="3"/>
  <c r="D185" i="3"/>
  <c r="D163" i="3"/>
  <c r="D161" i="3"/>
  <c r="D144" i="3"/>
  <c r="D143" i="3" s="1"/>
  <c r="D141" i="3"/>
  <c r="D140" i="3" s="1"/>
  <c r="D139" i="3" s="1"/>
  <c r="D137" i="3"/>
  <c r="D136" i="3" s="1"/>
  <c r="D133" i="3"/>
  <c r="D132" i="3" s="1"/>
  <c r="D131" i="3" s="1"/>
  <c r="D129" i="3"/>
  <c r="D121" i="3"/>
  <c r="D119" i="3"/>
  <c r="D117" i="3"/>
  <c r="D110" i="3"/>
  <c r="D74" i="3"/>
  <c r="D73" i="3" s="1"/>
  <c r="D72" i="3" s="1"/>
  <c r="D281" i="3"/>
  <c r="D49" i="3"/>
  <c r="D48" i="3" s="1"/>
  <c r="D39" i="3"/>
  <c r="D38" i="3" s="1"/>
  <c r="D29" i="3" s="1"/>
  <c r="D27" i="3"/>
  <c r="D26" i="3" s="1"/>
  <c r="D24" i="3"/>
  <c r="D23" i="3" s="1"/>
  <c r="D211" i="3" l="1"/>
  <c r="G17" i="1"/>
  <c r="E109" i="3"/>
  <c r="E108" i="3" s="1"/>
  <c r="E107" i="3" s="1"/>
  <c r="D109" i="3"/>
  <c r="D108" i="3" s="1"/>
  <c r="F109" i="3"/>
  <c r="F108" i="3" s="1"/>
  <c r="D203" i="3"/>
  <c r="D202" i="3" s="1"/>
  <c r="F203" i="3"/>
  <c r="F202" i="3" s="1"/>
  <c r="E203" i="3"/>
  <c r="E202" i="3" s="1"/>
  <c r="I140" i="1"/>
  <c r="I94" i="1" s="1"/>
  <c r="I16" i="1" s="1"/>
  <c r="G140" i="1"/>
  <c r="G94" i="1" s="1"/>
  <c r="D64" i="3"/>
  <c r="D63" i="3" s="1"/>
  <c r="D47" i="3" s="1"/>
  <c r="E230" i="3"/>
  <c r="E229" i="3" s="1"/>
  <c r="F230" i="3"/>
  <c r="F229" i="3" s="1"/>
  <c r="D230" i="3"/>
  <c r="D229" i="3" s="1"/>
  <c r="H140" i="1"/>
  <c r="H94" i="1" s="1"/>
  <c r="F64" i="3"/>
  <c r="F63" i="3" s="1"/>
  <c r="F47" i="3" s="1"/>
  <c r="F281" i="3"/>
  <c r="E64" i="3"/>
  <c r="E63" i="3" s="1"/>
  <c r="E47" i="3" s="1"/>
  <c r="E281" i="3"/>
  <c r="E184" i="3"/>
  <c r="E211" i="3"/>
  <c r="E160" i="3"/>
  <c r="E159" i="3" s="1"/>
  <c r="E116" i="3"/>
  <c r="E135" i="3"/>
  <c r="F126" i="3"/>
  <c r="E126" i="3"/>
  <c r="E280" i="3" s="1"/>
  <c r="D160" i="3"/>
  <c r="D159" i="3" s="1"/>
  <c r="E22" i="3"/>
  <c r="D22" i="3"/>
  <c r="D126" i="3"/>
  <c r="F160" i="3"/>
  <c r="F159" i="3" s="1"/>
  <c r="F22" i="3"/>
  <c r="F21" i="3" s="1"/>
  <c r="F116" i="3"/>
  <c r="F184" i="3"/>
  <c r="F211" i="3"/>
  <c r="F183" i="3" s="1"/>
  <c r="F135" i="3"/>
  <c r="F197" i="3"/>
  <c r="E197" i="3"/>
  <c r="D116" i="3"/>
  <c r="D184" i="3"/>
  <c r="D197" i="3"/>
  <c r="D135" i="3"/>
  <c r="E21" i="3" l="1"/>
  <c r="E106" i="3"/>
  <c r="E277" i="3" s="1"/>
  <c r="E183" i="3"/>
  <c r="D183" i="3"/>
  <c r="H16" i="1"/>
  <c r="G16" i="1"/>
  <c r="G284" i="1" s="1"/>
  <c r="G286" i="1" s="1"/>
  <c r="D21" i="3"/>
  <c r="I284" i="1"/>
  <c r="I293" i="1" s="1"/>
  <c r="F280" i="3"/>
  <c r="D280" i="3"/>
  <c r="F107" i="3"/>
  <c r="D107" i="3"/>
  <c r="H284" i="1" l="1"/>
  <c r="H293" i="1" s="1"/>
  <c r="D106" i="3"/>
  <c r="D277" i="3" s="1"/>
  <c r="D279" i="3" s="1"/>
  <c r="F106" i="3"/>
  <c r="F277" i="3" s="1"/>
  <c r="F279" i="3" s="1"/>
  <c r="E279" i="3"/>
  <c r="H286" i="1"/>
  <c r="I286" i="1"/>
</calcChain>
</file>

<file path=xl/sharedStrings.xml><?xml version="1.0" encoding="utf-8"?>
<sst xmlns="http://schemas.openxmlformats.org/spreadsheetml/2006/main" count="2638" uniqueCount="314">
  <si>
    <t>Наименование показателей</t>
  </si>
  <si>
    <t>Глава</t>
  </si>
  <si>
    <t>Целевая статья</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</si>
  <si>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</si>
  <si>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</si>
  <si>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</si>
  <si>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экономика</t>
  </si>
  <si>
    <t>Межбюджетные трансферты</t>
  </si>
  <si>
    <t>Дорожное хозяйство (дорожные фонды)</t>
  </si>
  <si>
    <t>Жилищно-коммунальное хозяйство</t>
  </si>
  <si>
    <t>Коммунальное хозяйство</t>
  </si>
  <si>
    <t>Благоустройство</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</si>
  <si>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</si>
  <si>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</si>
  <si>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бюджетные ассигнования</t>
  </si>
  <si>
    <t>Уплата налогов, сборов и иных платежей</t>
  </si>
  <si>
    <t>Образование</t>
  </si>
  <si>
    <t>Иные межбюджетные трансферты</t>
  </si>
  <si>
    <t>Социальная политика</t>
  </si>
  <si>
    <t>Физическая культура и спорт</t>
  </si>
  <si>
    <t>Массовый спорт</t>
  </si>
  <si>
    <t>Осуществление государственных полномочий в сфере административных правонарушений</t>
  </si>
  <si>
    <t>Обеспечение деятельности финансовых, налоговых и таможенных органов и органов финансового (финансово-бюджетного) надзора</t>
  </si>
  <si>
    <t>Резервные фонды</t>
  </si>
  <si>
    <t>Резервные средства</t>
  </si>
  <si>
    <t>Национальная оборона</t>
  </si>
  <si>
    <t>Мобилизационная и вневойсковая подготовка</t>
  </si>
  <si>
    <t>Функционирование высшего должностного лица субъекта Российской Федерации и муниципального образования</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</si>
  <si>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</si>
  <si>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</si>
  <si>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 xml:space="preserve">Молодежная политика </t>
  </si>
  <si>
    <t>Жилищное хозяйство</t>
  </si>
  <si>
    <t>Национальная безопасность и правоохранительная деятельность</t>
  </si>
  <si>
    <t>01</t>
  </si>
  <si>
    <t>Предоставление субсидий бюджетным, автономным учреждениям и иным некоммерческим организациям</t>
  </si>
  <si>
    <t>00</t>
  </si>
  <si>
    <t>02</t>
  </si>
  <si>
    <t>03</t>
  </si>
  <si>
    <t>04</t>
  </si>
  <si>
    <t>06</t>
  </si>
  <si>
    <t>11</t>
  </si>
  <si>
    <t>13</t>
  </si>
  <si>
    <t>10</t>
  </si>
  <si>
    <t>09</t>
  </si>
  <si>
    <t>05</t>
  </si>
  <si>
    <t>07</t>
  </si>
  <si>
    <t>ВСЕГО РАСХОДОВ</t>
  </si>
  <si>
    <t>II. НЕПРОГРАММНЫЕ НАПРАВЛЕНИЯ ДЕЯТЕЛЬНОСТИ</t>
  </si>
  <si>
    <t>2023 год</t>
  </si>
  <si>
    <t>Расходы на содержание органов местного самоуправления и обеспечение их функций</t>
  </si>
  <si>
    <t>Вид расхо-дов</t>
  </si>
  <si>
    <t>Осуществление первичного воинского учета на территориях, где отсутствуют военные комиссариаты</t>
  </si>
  <si>
    <t>Защита населения и территории от чрезвычайных ситуаций природного и техногенного характера, пожарная безопасность</t>
  </si>
  <si>
    <t>Раз-дел</t>
  </si>
  <si>
    <t>Под-раздел</t>
  </si>
  <si>
    <t>к решению Совета депутатов муниципального образования "Приморское"</t>
  </si>
  <si>
    <t>Администрация муниципального образования "Приморское"</t>
  </si>
  <si>
    <t>41 0 00 00000</t>
  </si>
  <si>
    <t>41 1 00 00000</t>
  </si>
  <si>
    <t>41 1 00 40010</t>
  </si>
  <si>
    <t>Вид расходов</t>
  </si>
  <si>
    <t>I. МУНИЦИПАЛЬНЫЕ ПРОГРАММЫ МУНИЦИПАЛЬНОГО ОБРАЗОВАНИЯ "ПРИМОРСКОЕ"</t>
  </si>
  <si>
    <t>01  0  00 00000</t>
  </si>
  <si>
    <t>Мероприятия по обеспечению первичных мер пожарной безопасности, осуществляемые органами местного самоуправления</t>
  </si>
  <si>
    <t>01  0  00 40520</t>
  </si>
  <si>
    <t>Закупка товаров, работ и услуг для государственных (муниципальных) нужд</t>
  </si>
  <si>
    <t>Поддержка деятельности подразделений добровольной пожарной охраны</t>
  </si>
  <si>
    <t>01  0  00 88520</t>
  </si>
  <si>
    <t>Субсидии некоммерческим организациям (за исключением государственных (муниципальных) учреждений)</t>
  </si>
  <si>
    <t>Муниципальная программа комплексного развития транспортной инфраструктуры муниципального образования «Приморское» Приморского района Архангельской области на 2017 -2027 годы</t>
  </si>
  <si>
    <t>02  0  00 00000</t>
  </si>
  <si>
    <t>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бюджетных ассигнований муниципального дорожного фонда</t>
  </si>
  <si>
    <t>02  0  00 88210</t>
  </si>
  <si>
    <t>Муниципальная программа «Комплексное развитие систем коммунальной инфраструктуры муниципального образования «Приморское» на 2016 -2026 годы»</t>
  </si>
  <si>
    <t>04  0 00  00000</t>
  </si>
  <si>
    <t xml:space="preserve">Содержание и ремонт уличного освещения </t>
  </si>
  <si>
    <t>04  0  00 44110</t>
  </si>
  <si>
    <t>Осуществление части полномочий по решению вопросов местного значения в соответствии с заключенными соглашениями, в целях поддержания жилищно-коммунальной отрасли сельских поселений, включая расходы по накоплению и транспортированию твердых коммунальных отходов и содержание мест захоронений</t>
  </si>
  <si>
    <t>04  0  00 88980</t>
  </si>
  <si>
    <t>05  0 00  00000</t>
  </si>
  <si>
    <t>Мероприятия по энергосбережению и повышению энергетической эффективности уличного освещения</t>
  </si>
  <si>
    <t>05  0  00 44120</t>
  </si>
  <si>
    <t>Обеспечение функционирования главы муниципального образования "Приморское" и администрации муниципального образования "Приморское"</t>
  </si>
  <si>
    <t>41  0  00 00000</t>
  </si>
  <si>
    <t>Глава муниципального образования "Приморское"</t>
  </si>
  <si>
    <t>41  1  00 00000</t>
  </si>
  <si>
    <t>41  1  00 40010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</si>
  <si>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</si>
  <si>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Осуществление части полномочий по решению вопросов местного значения в соответствии с заключенными соглашениями в целях материально-технического и организационного обеспечения деятельности</t>
  </si>
  <si>
    <t>Центральный аппарат</t>
  </si>
  <si>
    <t>41  2  00 00000</t>
  </si>
  <si>
    <t>41  2  00 40010</t>
  </si>
  <si>
    <t>41  2  00 88990</t>
  </si>
  <si>
    <t>Резервный фонд администрации муниципального образования «Приморское»</t>
  </si>
  <si>
    <t>43  0  00 00000</t>
  </si>
  <si>
    <t>43  0  00 41400</t>
  </si>
  <si>
    <t>Непрограммные расходы в сфере общегосударственных вопросов</t>
  </si>
  <si>
    <t>44  0  00 00000</t>
  </si>
  <si>
    <t>Межбюджетные трансферты на исполнение полномочий контрольно-счетного органа муниципального образования «Приморское» по осуществлению внешнего муниципального финансового контроля</t>
  </si>
  <si>
    <t>44  2  00 00000</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</si>
  <si>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</si>
  <si>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44  2  00 48990</t>
  </si>
  <si>
    <t>44  2 00 48990</t>
  </si>
  <si>
    <t xml:space="preserve">Непрограммные расходы в сфере других общегосударственных вопросов
</t>
  </si>
  <si>
    <t>45  0  00 00000</t>
  </si>
  <si>
    <t>Расходы по эксплуатации и содержанию зданий</t>
  </si>
  <si>
    <t>45  0  00 42010</t>
  </si>
  <si>
    <t>Непрограммные расходы в сфере национальной обороны</t>
  </si>
  <si>
    <t>47  0  00 00000</t>
  </si>
  <si>
    <t>47  0  00 51180</t>
  </si>
  <si>
    <t>Непрограммные расходы в сфере жилищно-коммунального хозяйства</t>
  </si>
  <si>
    <t>50  0  00 00000</t>
  </si>
  <si>
    <t>Расходы на обеспечение деятельности подведомственных казенных учреждений</t>
  </si>
  <si>
    <t>50  0  00 40200</t>
  </si>
  <si>
    <t>Расходы на выплаты персоналу казенных учреждений</t>
  </si>
  <si>
    <t>50  0  00 88990</t>
  </si>
  <si>
    <t>Непрограммные расходы в сфере благоустройства</t>
  </si>
  <si>
    <t>50  4  00 00000</t>
  </si>
  <si>
    <t>Прочие мероприятия по благоустройству поселения</t>
  </si>
  <si>
    <t>50  4  00 44140</t>
  </si>
  <si>
    <t>50  4 00 44140</t>
  </si>
  <si>
    <t>Непрограммные расходы в сфере жилищного и коммунального хозяйства</t>
  </si>
  <si>
    <t>50  5  00 00000</t>
  </si>
  <si>
    <t>Расходы на мероприятия в области жилищного хозяйства</t>
  </si>
  <si>
    <t>50  5  00 60040</t>
  </si>
  <si>
    <t>Расходы на мероприятия в области коммунального хозяйства</t>
  </si>
  <si>
    <t>50  5  00 60050</t>
  </si>
  <si>
    <t>Расходы на уплату взносов на капитальный ремонт муниципального жилищного фонда</t>
  </si>
  <si>
    <t>50  5 00 60070</t>
  </si>
  <si>
    <t>50  5  00 60070</t>
  </si>
  <si>
    <t>Расходы на обеспечение жителей поселения услугами бытового обслуживания</t>
  </si>
  <si>
    <t>50  5  00 60090</t>
  </si>
  <si>
    <t>Непрограммные расходы в целях поддержания жилищно-коммунальной отрасли</t>
  </si>
  <si>
    <t>50  6  00 00000</t>
  </si>
  <si>
    <t>50  6  00 88980</t>
  </si>
  <si>
    <t>Непрограммные расходы в сфере образования</t>
  </si>
  <si>
    <t>52  0  00 00000</t>
  </si>
  <si>
    <t>Проведение мероприятий для детей и молодежи</t>
  </si>
  <si>
    <t>52  0  00 45100</t>
  </si>
  <si>
    <t>Непрограммные расходы в сфере социальной политики</t>
  </si>
  <si>
    <t>54  0  00 00000</t>
  </si>
  <si>
    <t>Непрограммные расходы в сфере социально-значимых мероприятий</t>
  </si>
  <si>
    <t>54  1  00 00000</t>
  </si>
  <si>
    <t>Расходы на проведение социально-значимых мероприятий</t>
  </si>
  <si>
    <t>54  1  00 60080</t>
  </si>
  <si>
    <t>Непрограммные расходы в сфере физической культуры и спорта</t>
  </si>
  <si>
    <t>56  0  00 00000</t>
  </si>
  <si>
    <t>Мероприятия в области спорта и физической культуры</t>
  </si>
  <si>
    <t xml:space="preserve"> 56  0  00 49000</t>
  </si>
  <si>
    <t>ИТОГО</t>
  </si>
  <si>
    <t xml:space="preserve">Условно утверждаемые расходы </t>
  </si>
  <si>
    <t>44  0  00 78793</t>
  </si>
  <si>
    <t>через субботу - 3200 1 рейс * 26 суббот</t>
  </si>
  <si>
    <t>41 2 00 00000</t>
  </si>
  <si>
    <t>41 2 00 40010</t>
  </si>
  <si>
    <t>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</si>
  <si>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</si>
  <si>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t>
  </si>
  <si>
    <t>сумма от аренды объектов ком хоз</t>
  </si>
  <si>
    <t>Расходы на осуществление деятельности по обращению с животными без владельцев</t>
  </si>
  <si>
    <t>Реализация программ формирования современной городской среды за счет средств местного бюджета</t>
  </si>
  <si>
    <t>06  0 00  00000</t>
  </si>
  <si>
    <t>06  0 F2 5555П</t>
  </si>
  <si>
    <t>06  0  F2 5555П</t>
  </si>
  <si>
    <t>Муниципальная программа «Формирование современной городской среды МО «Приморское» на 2018-2024 годы</t>
  </si>
  <si>
    <t>06  0  F2 55550</t>
  </si>
  <si>
    <t xml:space="preserve">Реализация программ формирования современной городской среды </t>
  </si>
  <si>
    <t>50  0  00  00000</t>
  </si>
  <si>
    <t>50  4  00 44150</t>
  </si>
  <si>
    <t>07  0 00  00000</t>
  </si>
  <si>
    <t>Муниципальная программа «Борьба с борщевиком Сосновского на территории муниципального образования «Приморское» на 2020-2021 годы</t>
  </si>
  <si>
    <t>Мероприятия по уничтожению борщевика</t>
  </si>
  <si>
    <t>07  0  00 44160</t>
  </si>
  <si>
    <t>вывоз мусора - 22,5 и кладбища - 30,0</t>
  </si>
  <si>
    <t>Другие вопросы в области жилищно-коммунального хозяйства</t>
  </si>
  <si>
    <t>Содержание мест (площадок) накопления твердых коммунальных отходов</t>
  </si>
  <si>
    <t>Другие вопросы в области социальной политики</t>
  </si>
  <si>
    <t>транспортный налог и др</t>
  </si>
  <si>
    <t>ком. Услуги</t>
  </si>
  <si>
    <t>за счет полномочий на МТО</t>
  </si>
  <si>
    <t>за счет полномочий на ЖКХ</t>
  </si>
  <si>
    <t>Охрана окружающей среды</t>
  </si>
  <si>
    <t>Другие вопросы в области охраны окружающей среды</t>
  </si>
  <si>
    <t xml:space="preserve"> 04  0  00 88470</t>
  </si>
  <si>
    <t>в т.ч. оплата маршрутных листов - 0</t>
  </si>
  <si>
    <t xml:space="preserve">в т.ч. оплата маршрутных листов и др. расходы по  122 в.р.-1,0 тыс. руб. </t>
  </si>
  <si>
    <t>в т.ч. оплата маршрутных листов - 1,0 и оплата проезда к месту отдыха - 77,0</t>
  </si>
  <si>
    <t>Приложение № 3</t>
  </si>
  <si>
    <t xml:space="preserve">Расходы на мероприятия в области дорожного хозяйства </t>
  </si>
  <si>
    <t>02  0  00 60010</t>
  </si>
  <si>
    <t>Исполнение судебных актов</t>
  </si>
  <si>
    <t>разница</t>
  </si>
  <si>
    <t>Обустройство детской игровой площадки в дер. Рикасиха</t>
  </si>
  <si>
    <t>52  0  00 45200</t>
  </si>
  <si>
    <t>Непрограммные расходы в сфере национальной безопасности и правоохранительной деятельности</t>
  </si>
  <si>
    <t>Протовопаводковые мероприятия за счет средств резервного фонда администрации МО «Приморский муниципальный район»</t>
  </si>
  <si>
    <t>48  0  00 00000</t>
  </si>
  <si>
    <t>48  0  00 81400</t>
  </si>
  <si>
    <t>06  0  00  S6410</t>
  </si>
  <si>
    <t xml:space="preserve">Разработка ПСД по благоустройству общественных и дворовых территорий при реализации муниципальных программ формирования современной городской среды </t>
  </si>
  <si>
    <t xml:space="preserve">Прочие мероприятия при реализации муниципальных программ формирования современной городской среды </t>
  </si>
  <si>
    <t>02  0  00 88240</t>
  </si>
  <si>
    <t>Разработка проектной документации на реконструкцию автомобильных дорог</t>
  </si>
  <si>
    <t>06  0 F2 55550</t>
  </si>
  <si>
    <t>06  0  00 S6410</t>
  </si>
  <si>
    <t>06  0  00 96410</t>
  </si>
  <si>
    <t>04  0  00 60050</t>
  </si>
  <si>
    <t>04  0  00 88460</t>
  </si>
  <si>
    <t>Осуществление части полномочий по решению вопросов местного значения в соответствии с заключенными соглашениями в целях  реализации мероприятий в сфере коммунального хозяйства</t>
  </si>
  <si>
    <t>Обустройство детской игровой площадки в п. Лайский Док</t>
  </si>
  <si>
    <t>52  0  00 45300</t>
  </si>
  <si>
    <t xml:space="preserve">Приложение № 2
к решению Совета (Собрания) депутатов 
муниципального образования
«_________________________»
Приложение № 3 </t>
  </si>
  <si>
    <t>Сумма, рублей</t>
  </si>
  <si>
    <t>2024 год</t>
  </si>
  <si>
    <t>Осуществление первичного воинского учета органами местного самоуправления поселения, муниципальных и городских округов</t>
  </si>
  <si>
    <t>доходы</t>
  </si>
  <si>
    <t>софинансирование по ремонту дороги у 14 дома</t>
  </si>
  <si>
    <t>общий объем условно утверждаемых (утвержденных) расходов в случае утверждения бюджета на очередной финансовый год и плановый период на первый год планового периода в объеме не менее 2,5 процента общего объема расходов бюджета (без учета расходов бюджета, предусмотренных за счет межбюджетных трансфертов из других бюджетов бюджетной системы Российской Федерации, имеющих целевое назначение), на второй год планового периода в объеме не менее 5 процентов общего объема расходов бюджета (без учета расходов бюджета, предусмотренных за счет межбюджетных трансфертов из других бюджетов бюджетной системы Российской Федерации, имеющих целевое назначение);</t>
  </si>
  <si>
    <t>расчет условно утверждаемых расходов</t>
  </si>
  <si>
    <t>Благоустройство территорий и приобретение уборочной и коммунальной техники</t>
  </si>
  <si>
    <t>08  0  00 00000</t>
  </si>
  <si>
    <t>08  0 00  00000</t>
  </si>
  <si>
    <t>Муниципальная программа «Комплексное развитие территории сельского поселения «Приморское» Приморского муниципального района Архангельской области на 2021 – 2025 годы»</t>
  </si>
  <si>
    <t>08  0  00 L5760</t>
  </si>
  <si>
    <t>Обеспечение комплексного развития сельских территорий</t>
  </si>
  <si>
    <t>48 0 00 81400</t>
  </si>
  <si>
    <t xml:space="preserve"> 04  0  00 44130</t>
  </si>
  <si>
    <t>Мероприятия в области обращения с отходами производства и потребления</t>
  </si>
  <si>
    <t>08   0  00 L5760</t>
  </si>
  <si>
    <t>04  0  00 44130</t>
  </si>
  <si>
    <t>06  0  F2 78840</t>
  </si>
  <si>
    <t>06  0  F2 7884П</t>
  </si>
  <si>
    <t>Благоустройство территорий и приобретение уборочной и коммунальной техники за счет средств бюджета поселения</t>
  </si>
  <si>
    <t>Обеспечение комплексного развития сельских территорий за счет средств бюджета поселения</t>
  </si>
  <si>
    <t>08  0  00 L576П</t>
  </si>
  <si>
    <t>08   0  00 L576П</t>
  </si>
  <si>
    <t>02  0  00 81400</t>
  </si>
  <si>
    <t>Мероприятия за счет средств резервного фонда администрации МО «Приморский муниципальный район» (на непредвиденные расходы по ремонту участка автомобильной дороги пер. Дачный в пос. Лайский Док (в районе строительства детского сада))</t>
  </si>
  <si>
    <t>49 2 00 S8420</t>
  </si>
  <si>
    <t>49 2 00 00000</t>
  </si>
  <si>
    <t>Непрограммные расходы в сфере дорожного хозяйства</t>
  </si>
  <si>
    <t>Развитие территориального общественного самоуправления в Архангельской области</t>
  </si>
  <si>
    <t>49 2 00 99421</t>
  </si>
  <si>
    <t>Поддержка территориального общественного самоуправления «Женские инициативы»</t>
  </si>
  <si>
    <t>49 0 00 00000</t>
  </si>
  <si>
    <t>Непрограммные расходы в сфере национальной экономики</t>
  </si>
  <si>
    <t>49  0  00 00000</t>
  </si>
  <si>
    <t>49  2  00 00000</t>
  </si>
  <si>
    <t>49 2 00 81400</t>
  </si>
  <si>
    <t>Мероприятия за счет средств резервного фонда администрации МО «Приморский муниципальный район» (на непредвиденные расходы по устройству пешеходного тротуара по пер. Заозерный в пос. Лайский Док, ведущего к строящемуся объекту «Детский сад на 60 мест в пос. Лайский Док Приморского района Архангельской области»)</t>
  </si>
  <si>
    <t>02  0  00 88260</t>
  </si>
  <si>
    <t>"О бюджете муниципального образования "Приморское" на 2023 год и на плановый период 2024 и 2025 годов"</t>
  </si>
  <si>
    <t>Ведомственная структура расходов местного бюджета на 2023 год и на плановый период 2024 и 2025 годов</t>
  </si>
  <si>
    <t>2025 год</t>
  </si>
  <si>
    <t>Распределение бюджетных ассигнований по целевым статьям (муниципальным программам муниципального образования "Приморское" и непрограммным направлениям деятельности), группам и подгруппам видов расходов классификации расходов бюджетов на 2023 год и на плановый период 2024 и 2025 годов</t>
  </si>
  <si>
    <t>Муниципальная программа «Обеспечение первичных мер пожарной безопасности на территории муниципального образования «Приморское» на 2017 -2025 годы»</t>
  </si>
  <si>
    <t>Муниципальная программа «Энергосбережение и повышение энергетической эффективности муниципального образования «Приморское» на 2013 -2025 годы»</t>
  </si>
  <si>
    <t>утверждено доходов на полномочия на МТО</t>
  </si>
  <si>
    <t>разница по МТО</t>
  </si>
  <si>
    <t>Муниципальная программа «Обеспечение первичных мер пожарной безопасности на территории муниципального образования «Приморское» на 2017 - 2025 годы»</t>
  </si>
  <si>
    <t xml:space="preserve"> от 15.12 2022 № 84</t>
  </si>
  <si>
    <t>"О внесении изменений в решение Совета депутатов муниципального образования «Приморское» от 15.12.2022 № 84 "О бюджете муниципального образования "Приморское" на 2023 год и на плановый период 2024 и 2025 годов"</t>
  </si>
  <si>
    <t>Расходы на погашение кредиторской задолженности и исполнение судебных актов, предусматривающих обращение взыскания на средства бюджета</t>
  </si>
  <si>
    <t>Пенсионное обеспечение</t>
  </si>
  <si>
    <t>Пенсии за выслугу лет муниципальным служащим</t>
  </si>
  <si>
    <t>Социальное обеспечение и иные выплаты населению</t>
  </si>
  <si>
    <t>Публичные нормативные социальные выплаты гражданам</t>
  </si>
  <si>
    <t>54 0 00 47100</t>
  </si>
  <si>
    <t>300</t>
  </si>
  <si>
    <t>310</t>
  </si>
  <si>
    <t>08</t>
  </si>
  <si>
    <t>53  0  00 00000</t>
  </si>
  <si>
    <t xml:space="preserve">53  0  00 60030 </t>
  </si>
  <si>
    <t>Непрограммные расходы в сфере культуры</t>
  </si>
  <si>
    <t>Культура, кинематография</t>
  </si>
  <si>
    <t>Другие вопросы в области культуры, кинематографии</t>
  </si>
  <si>
    <t>Расходы на мероприятия по обеспечению проведения кадастровых работ, технической инвентаризации, паспортизации и оценки рыночной стоимости объектов</t>
  </si>
  <si>
    <t xml:space="preserve">Расходы на мероприятия по обеспечению проведения кадастровых работ, технической инвентаризации, паспортизации и оценки рыночной стоимости объектов </t>
  </si>
  <si>
    <t xml:space="preserve">53 0 00 60030 </t>
  </si>
  <si>
    <t xml:space="preserve"> 54  0  00  47100</t>
  </si>
  <si>
    <t>45  0  00 43000</t>
  </si>
  <si>
    <t xml:space="preserve">Расходы на другие общегосударственные вопросы </t>
  </si>
  <si>
    <t>45  0  00 43010</t>
  </si>
  <si>
    <t>Иные расходы органов местного самоуправления на обеспечение их функций</t>
  </si>
  <si>
    <t>53  0  00 S8420</t>
  </si>
  <si>
    <t>45  0  00 60060</t>
  </si>
  <si>
    <t>49 2 00 62000</t>
  </si>
  <si>
    <t>Реализация проектов по конкурсу социальных проектов Благотворительного фонда «Мы вместе» «4Д-2023: дарите друг другу добро</t>
  </si>
  <si>
    <t>53  0  00 99421</t>
  </si>
  <si>
    <t>56  0  00 99423</t>
  </si>
  <si>
    <t>Поддержка территориального общественного самоуправления «Стремление»</t>
  </si>
  <si>
    <t>56  0  00 S8420</t>
  </si>
  <si>
    <t>Мероприятия по ремонту и содержанию автомобильных дорог</t>
  </si>
  <si>
    <t>Расходы мероприятий в сфере коммунального хозяйства</t>
  </si>
  <si>
    <t>50  0  00 88460</t>
  </si>
  <si>
    <t xml:space="preserve"> 04  0  00 S6470</t>
  </si>
  <si>
    <t>Реализация мероприятий в сфере обращения с отходами производства и потребления, в том числе с твердыми коммунальными отходами</t>
  </si>
  <si>
    <t xml:space="preserve">Реализация мероприятий по разработке проектно-сметной документации на реконструкцию многоквартирных домов </t>
  </si>
  <si>
    <t>50  0  00 88490</t>
  </si>
  <si>
    <t>50 0 00 88490</t>
  </si>
  <si>
    <t>53  0  00 64000</t>
  </si>
  <si>
    <t>Расходы по ремонту, эксплуатации и содержанию памятников</t>
  </si>
  <si>
    <t>53 0 00 64000</t>
  </si>
  <si>
    <t xml:space="preserve"> от 14.12.2023 № 154</t>
  </si>
  <si>
    <t>41 2 00 S6450</t>
  </si>
  <si>
    <t>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t>
  </si>
  <si>
    <t xml:space="preserve">Приложение № 3
к решению Совета (Собрания) депутатов 
муниципального образования
«_________________________»
Приложение № 3 </t>
  </si>
  <si>
    <t>Исполнение</t>
  </si>
  <si>
    <t>План</t>
  </si>
  <si>
    <t>2023г.</t>
  </si>
  <si>
    <t xml:space="preserve">ПРИЛОЖЕНИЕ  № 3                 </t>
  </si>
  <si>
    <t>Единица измерения: тыс. руб.</t>
  </si>
  <si>
    <t>Исполнение расходов по ведомственной структуре расходов местного бюджета за 2023 год                                           МО "Приморское"</t>
  </si>
  <si>
    <t>к  решению Собрания депутатов
Приморского муниципального округа
от  27 июня 2024 г. № 177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</si>
</sst>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lt;=999]000;[&lt;=9999]000\-00;000\-0000"/>
    <numFmt numFmtId="165" formatCode="0000"/>
    <numFmt numFmtId="166" formatCode="0#"/>
    <numFmt numFmtId="167" formatCode="#,##0.0"/>
    <numFmt numFmtId="168" formatCode="_-* #,##0.00_р_._-;\-* #,##0.00_р_._-;_-* &quot;-&quot;??_р_._-;_-@_-"/>
  </numFmts>
  <fonts count="37" x14ac:knownFonts="1">
    <font>
      <sz val="11"/>
      <color theme="1"/>
      <name val="Calibri"/>
      <family val="2"/>
      <scheme val="minor"/>
    </font>
    <font>
      <sz val="12"/>
      <color theme="1"/>
      <name val="Times New Roman"/>
      <family val="1"/>
      <charset val="204"/>
    </font>
    <font>
      <sz val="12"/>
      <name val="Times New Roman"/>
      <family val="1"/>
      <charset val="204"/>
    </font>
    <font>
      <b/>
      <sz val="12"/>
      <color theme="1"/>
      <name val="Times New Roman"/>
      <family val="1"/>
      <charset val="204"/>
    </font>
    <font>
      <b/>
      <sz val="12"/>
      <name val="Times New Roman"/>
      <family val="1"/>
      <charset val="204"/>
    </font>
    <font>
      <sz val="11"/>
      <color theme="1"/>
      <name val="Calibri"/>
      <family val="2"/>
      <scheme val="minor"/>
    </font>
    <font>
      <sz val="10"/>
      <name val="Arial"/>
      <family val="2"/>
      <charset val="204"/>
    </font>
    <font>
      <sz val="8"/>
      <name val="Times New Roman"/>
      <family val="1"/>
      <charset val="204"/>
    </font>
    <font>
      <b/>
      <sz val="13"/>
      <name val="Times New Roman"/>
      <family val="1"/>
      <charset val="204"/>
    </font>
    <font>
      <b/>
      <sz val="6"/>
      <name val="Times New Roman"/>
      <family val="1"/>
      <charset val="204"/>
    </font>
    <font>
      <sz val="11"/>
      <name val="Arial"/>
      <family val="2"/>
    </font>
    <font>
      <b/>
      <sz val="9"/>
      <name val="Times New Roman"/>
      <family val="1"/>
      <charset val="204"/>
    </font>
    <font>
      <sz val="9"/>
      <name val="Times New Roman"/>
      <family val="1"/>
      <charset val="204"/>
    </font>
    <font>
      <sz val="9"/>
      <name val="Times New Roman"/>
      <family val="1"/>
    </font>
    <font>
      <b/>
      <sz val="9"/>
      <name val="Times New Roman"/>
      <family val="1"/>
    </font>
    <font>
      <b/>
      <sz val="10"/>
      <name val="Arial"/>
      <family val="2"/>
      <charset val="204"/>
    </font>
    <font>
      <b/>
      <sz val="12"/>
      <name val="Times New Roman"/>
      <family val="1"/>
    </font>
    <font>
      <sz val="12"/>
      <name val="Times New Roman"/>
      <family val="1"/>
    </font>
    <font>
      <b/>
      <sz val="10"/>
      <name val="Times New Roman"/>
      <family val="1"/>
      <charset val="204"/>
    </font>
    <font>
      <b/>
      <sz val="12"/>
      <color indexed="10"/>
      <name val="Times New Roman"/>
      <family val="1"/>
      <charset val="204"/>
    </font>
    <font>
      <sz val="12"/>
      <color indexed="10"/>
      <name val="Times New Roman"/>
      <family val="1"/>
      <charset val="204"/>
    </font>
    <font>
      <b/>
      <sz val="14"/>
      <name val="Times New Roman"/>
      <family val="1"/>
      <charset val="204"/>
    </font>
    <font>
      <b/>
      <sz val="10"/>
      <name val="Arial"/>
      <family val="2"/>
    </font>
    <font>
      <sz val="10"/>
      <color rgb="FFFF0000"/>
      <name val="Arial"/>
      <family val="2"/>
      <charset val="204"/>
    </font>
    <font>
      <sz val="10"/>
      <name val="Arial Cyr"/>
      <charset val="204"/>
    </font>
    <font>
      <i/>
      <sz val="12"/>
      <name val="Times New Roman"/>
      <family val="1"/>
      <charset val="204"/>
    </font>
    <font>
      <sz val="12"/>
      <name val="Arial"/>
      <family val="2"/>
      <charset val="204"/>
    </font>
    <font>
      <b/>
      <sz val="12"/>
      <name val="Arial"/>
      <family val="2"/>
      <charset val="204"/>
    </font>
    <font>
      <sz val="9"/>
      <name val="Arial"/>
      <family val="2"/>
      <charset val="204"/>
    </font>
    <font>
      <sz val="12"/>
      <color rgb="FFFF0000"/>
      <name val="Times New Roman"/>
      <family val="1"/>
      <charset val="204"/>
    </font>
    <font>
      <sz val="12"/>
      <name val="Arial Cyr"/>
      <charset val="204"/>
    </font>
    <font>
      <sz val="9"/>
      <color theme="1"/>
      <name val="Times New Roman"/>
      <family val="1"/>
      <charset val="204"/>
    </font>
    <font>
      <b/>
      <sz val="9"/>
      <color theme="1"/>
      <name val="Times New Roman"/>
      <family val="1"/>
      <charset val="204"/>
    </font>
    <font>
      <sz val="11"/>
      <color theme="1"/>
      <name val="Times New Roman"/>
      <family val="1"/>
      <charset val="204"/>
    </font>
    <font>
      <sz val="8"/>
      <color theme="1"/>
      <name val="Times New Roman"/>
      <family val="1"/>
      <charset val="204"/>
    </font>
    <font>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9"/>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s>
  <cellStyleXfs count="5">
    <xf numFmtId="0" fontId="0" fillId="0" borderId="0"/>
    <xf numFmtId="43" fontId="5" fillId="0" borderId="0" applyFont="0" applyFill="0" applyBorder="0" applyAlignment="0" applyProtection="0"/>
    <xf numFmtId="0" fontId="24" fillId="0" borderId="0"/>
    <xf numFmtId="168" fontId="24" fillId="0" borderId="0" applyFont="0" applyFill="0" applyBorder="0" applyAlignment="0" applyProtection="0"/>
    <xf numFmtId="43" fontId="5" fillId="0" borderId="0" applyFont="0" applyFill="0" applyBorder="0" applyAlignment="0" applyProtection="0"/>
  </cellStyleXfs>
  <cellXfs count="438">
    <xf numFmtId="0" fontId="0" fillId="0" borderId="0" xfId="0"/>
    <xf numFmtId="0" fontId="1" fillId="0" borderId="0" xfId="0" applyFont="1" applyFill="1"/>
    <xf numFmtId="0" fontId="2" fillId="0" borderId="0" xfId="0" applyFont="1" applyFill="1" applyAlignment="1">
      <alignment vertical="top"/>
    </xf>
    <xf numFmtId="49" fontId="2" fillId="0" borderId="0" xfId="0" applyNumberFormat="1" applyFont="1" applyFill="1" applyAlignment="1">
      <alignment vertical="top"/>
    </xf>
    <xf numFmtId="0" fontId="1" fillId="2" borderId="1" xfId="0" applyFont="1" applyFill="1" applyBorder="1" applyAlignment="1">
      <alignment horizontal="center" vertical="center" wrapText="1"/>
    </xf>
    <xf numFmtId="0" fontId="1" fillId="2" borderId="0" xfId="0" applyFont="1" applyFill="1"/>
    <xf numFmtId="49" fontId="4"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0" fontId="6" fillId="0" borderId="0" xfId="0" applyNumberFormat="1" applyFont="1" applyFill="1" applyBorder="1" applyAlignment="1" applyProtection="1">
      <alignment vertical="top"/>
    </xf>
    <xf numFmtId="0" fontId="7" fillId="0" borderId="2" xfId="0" applyNumberFormat="1" applyFont="1" applyFill="1" applyBorder="1" applyAlignment="1" applyProtection="1">
      <alignment horizontal="center" vertical="center"/>
    </xf>
    <xf numFmtId="0" fontId="7" fillId="0" borderId="6" xfId="0" applyNumberFormat="1" applyFont="1" applyFill="1" applyBorder="1" applyAlignment="1" applyProtection="1">
      <alignment horizontal="center" vertical="center"/>
    </xf>
    <xf numFmtId="0" fontId="8" fillId="4" borderId="1" xfId="0" applyNumberFormat="1" applyFont="1" applyFill="1" applyBorder="1" applyAlignment="1" applyProtection="1">
      <alignment horizontal="left" vertical="center" wrapText="1"/>
    </xf>
    <xf numFmtId="0" fontId="9" fillId="4" borderId="4" xfId="0" applyNumberFormat="1" applyFont="1" applyFill="1" applyBorder="1" applyAlignment="1" applyProtection="1">
      <alignment horizontal="left" vertical="center"/>
    </xf>
    <xf numFmtId="0" fontId="10" fillId="4" borderId="1" xfId="0" applyNumberFormat="1" applyFont="1" applyFill="1" applyBorder="1" applyAlignment="1" applyProtection="1">
      <alignment vertical="center"/>
    </xf>
    <xf numFmtId="0" fontId="8" fillId="2" borderId="1" xfId="0" applyNumberFormat="1" applyFont="1" applyFill="1" applyBorder="1" applyAlignment="1" applyProtection="1">
      <alignment horizontal="left" vertical="center" wrapText="1"/>
    </xf>
    <xf numFmtId="0" fontId="8" fillId="2" borderId="4" xfId="0" applyNumberFormat="1" applyFont="1" applyFill="1" applyBorder="1" applyAlignment="1" applyProtection="1">
      <alignment horizontal="center" vertical="center"/>
    </xf>
    <xf numFmtId="0" fontId="10" fillId="2"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vertical="center"/>
    </xf>
    <xf numFmtId="0" fontId="4" fillId="3" borderId="4" xfId="0" applyNumberFormat="1" applyFont="1" applyFill="1" applyBorder="1" applyAlignment="1" applyProtection="1">
      <alignment horizontal="center" vertical="center"/>
    </xf>
    <xf numFmtId="0" fontId="4" fillId="3" borderId="1" xfId="0" applyNumberFormat="1" applyFont="1" applyFill="1" applyBorder="1" applyAlignment="1" applyProtection="1">
      <alignment horizontal="center" vertical="center"/>
    </xf>
    <xf numFmtId="0" fontId="2" fillId="3" borderId="4"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xf>
    <xf numFmtId="0" fontId="2" fillId="3" borderId="8" xfId="0" applyNumberFormat="1" applyFont="1" applyFill="1" applyBorder="1" applyAlignment="1" applyProtection="1">
      <alignment horizontal="center" vertical="center"/>
    </xf>
    <xf numFmtId="0" fontId="2" fillId="3" borderId="7"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left" vertical="center"/>
    </xf>
    <xf numFmtId="0" fontId="4" fillId="0" borderId="4"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xf>
    <xf numFmtId="0" fontId="13" fillId="0" borderId="1" xfId="0" applyNumberFormat="1" applyFont="1" applyFill="1" applyBorder="1" applyAlignment="1" applyProtection="1">
      <alignment horizontal="left" vertical="center" wrapText="1"/>
    </xf>
    <xf numFmtId="0" fontId="2" fillId="0" borderId="4" xfId="0" applyNumberFormat="1" applyFont="1" applyFill="1" applyBorder="1" applyAlignment="1" applyProtection="1">
      <alignment horizontal="center" vertical="center"/>
    </xf>
    <xf numFmtId="0" fontId="14" fillId="0" borderId="1" xfId="0" applyNumberFormat="1" applyFont="1" applyFill="1" applyBorder="1" applyAlignment="1" applyProtection="1">
      <alignment horizontal="left" vertical="center" wrapText="1"/>
    </xf>
    <xf numFmtId="0" fontId="15" fillId="0" borderId="0" xfId="0" applyNumberFormat="1" applyFont="1" applyFill="1" applyBorder="1" applyAlignment="1" applyProtection="1">
      <alignment vertical="top"/>
    </xf>
    <xf numFmtId="0" fontId="16" fillId="0" borderId="1" xfId="0" applyNumberFormat="1" applyFont="1" applyFill="1" applyBorder="1" applyAlignment="1" applyProtection="1">
      <alignment horizontal="center" vertical="center"/>
    </xf>
    <xf numFmtId="0" fontId="17" fillId="0" borderId="1" xfId="0" applyNumberFormat="1" applyFont="1" applyFill="1" applyBorder="1" applyAlignment="1" applyProtection="1">
      <alignment horizontal="center" vertical="center"/>
    </xf>
    <xf numFmtId="0" fontId="13" fillId="0" borderId="1" xfId="0" applyNumberFormat="1" applyFont="1" applyFill="1" applyBorder="1" applyAlignment="1" applyProtection="1">
      <alignment horizontal="left" vertical="center"/>
    </xf>
    <xf numFmtId="0" fontId="18" fillId="0" borderId="1" xfId="0" applyNumberFormat="1" applyFont="1" applyFill="1" applyBorder="1" applyAlignment="1" applyProtection="1">
      <alignment horizontal="left" vertical="top"/>
    </xf>
    <xf numFmtId="0" fontId="11" fillId="0" borderId="1" xfId="0" applyNumberFormat="1" applyFont="1" applyFill="1" applyBorder="1" applyAlignment="1" applyProtection="1">
      <alignment horizontal="left" vertical="distributed"/>
    </xf>
    <xf numFmtId="0" fontId="19"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justify" vertical="center"/>
    </xf>
    <xf numFmtId="0" fontId="20" fillId="0" borderId="1" xfId="0" applyNumberFormat="1" applyFont="1" applyFill="1" applyBorder="1" applyAlignment="1" applyProtection="1">
      <alignment horizontal="center" vertical="center"/>
    </xf>
    <xf numFmtId="0" fontId="14" fillId="0" borderId="1" xfId="0" applyNumberFormat="1" applyFont="1" applyFill="1" applyBorder="1" applyAlignment="1" applyProtection="1">
      <alignment horizontal="left" vertical="top" wrapText="1"/>
    </xf>
    <xf numFmtId="0" fontId="11" fillId="0" borderId="1" xfId="0" applyNumberFormat="1" applyFont="1" applyFill="1" applyBorder="1" applyAlignment="1" applyProtection="1">
      <alignment horizontal="left" vertical="top"/>
    </xf>
    <xf numFmtId="0" fontId="13" fillId="0" borderId="1" xfId="0" applyNumberFormat="1" applyFont="1" applyFill="1" applyBorder="1" applyAlignment="1" applyProtection="1">
      <alignment horizontal="left" vertical="top"/>
    </xf>
    <xf numFmtId="0" fontId="11" fillId="0" borderId="1" xfId="0" applyNumberFormat="1" applyFont="1" applyFill="1" applyBorder="1" applyAlignment="1" applyProtection="1">
      <alignment horizontal="justify" vertical="top"/>
    </xf>
    <xf numFmtId="0" fontId="11" fillId="0" borderId="1" xfId="0" applyNumberFormat="1" applyFont="1" applyFill="1" applyBorder="1" applyAlignment="1" applyProtection="1">
      <alignment horizontal="left" vertical="justify"/>
    </xf>
    <xf numFmtId="0" fontId="11" fillId="0" borderId="1" xfId="0" applyNumberFormat="1" applyFont="1" applyFill="1" applyBorder="1" applyAlignment="1" applyProtection="1">
      <alignment vertical="top"/>
    </xf>
    <xf numFmtId="0" fontId="16" fillId="0" borderId="9"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11" fillId="0" borderId="1" xfId="0" applyNumberFormat="1" applyFont="1" applyFill="1" applyBorder="1" applyAlignment="1" applyProtection="1">
      <alignment horizontal="justify" vertical="distributed"/>
    </xf>
    <xf numFmtId="0" fontId="17" fillId="0" borderId="4" xfId="0" applyNumberFormat="1" applyFont="1" applyFill="1" applyBorder="1" applyAlignment="1" applyProtection="1">
      <alignment horizontal="center" vertical="center"/>
    </xf>
    <xf numFmtId="0" fontId="4" fillId="3" borderId="4"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16" fillId="2" borderId="4" xfId="0" applyNumberFormat="1" applyFont="1" applyFill="1" applyBorder="1" applyAlignment="1" applyProtection="1">
      <alignment horizontal="center" vertical="center"/>
    </xf>
    <xf numFmtId="0" fontId="17" fillId="2" borderId="4" xfId="0" applyNumberFormat="1" applyFont="1" applyFill="1" applyBorder="1" applyAlignment="1" applyProtection="1">
      <alignment horizontal="center" vertical="center"/>
    </xf>
    <xf numFmtId="0" fontId="4" fillId="2" borderId="4" xfId="0" applyNumberFormat="1" applyFont="1" applyFill="1" applyBorder="1" applyAlignment="1" applyProtection="1">
      <alignment horizontal="center" vertical="center"/>
    </xf>
    <xf numFmtId="0" fontId="2" fillId="2" borderId="4" xfId="0" applyNumberFormat="1" applyFont="1" applyFill="1" applyBorder="1" applyAlignment="1" applyProtection="1">
      <alignment horizontal="center" vertical="center"/>
    </xf>
    <xf numFmtId="0" fontId="11" fillId="0" borderId="1" xfId="0" applyNumberFormat="1" applyFont="1" applyFill="1" applyBorder="1" applyAlignment="1" applyProtection="1">
      <alignment horizontal="justify" vertical="center"/>
    </xf>
    <xf numFmtId="0" fontId="2" fillId="0" borderId="0" xfId="0" applyNumberFormat="1" applyFont="1" applyFill="1" applyBorder="1" applyAlignment="1" applyProtection="1">
      <alignment vertical="top"/>
    </xf>
    <xf numFmtId="0" fontId="22" fillId="0" borderId="0" xfId="0" applyNumberFormat="1" applyFont="1" applyFill="1" applyBorder="1" applyAlignment="1" applyProtection="1">
      <alignment vertical="top"/>
    </xf>
    <xf numFmtId="0" fontId="4" fillId="0" borderId="0" xfId="0" applyNumberFormat="1" applyFont="1" applyFill="1" applyBorder="1" applyAlignment="1" applyProtection="1">
      <alignment vertical="top"/>
    </xf>
    <xf numFmtId="0" fontId="22" fillId="0" borderId="0" xfId="0" applyNumberFormat="1" applyFont="1" applyFill="1" applyBorder="1" applyAlignment="1" applyProtection="1">
      <alignment horizontal="center" vertical="top"/>
    </xf>
    <xf numFmtId="0" fontId="23" fillId="0" borderId="0" xfId="0" applyNumberFormat="1" applyFont="1" applyFill="1" applyBorder="1" applyAlignment="1" applyProtection="1">
      <alignment vertical="top"/>
    </xf>
    <xf numFmtId="0" fontId="6" fillId="0" borderId="10" xfId="0" applyNumberFormat="1" applyFont="1" applyFill="1" applyBorder="1" applyAlignment="1" applyProtection="1">
      <alignment vertical="top"/>
    </xf>
    <xf numFmtId="0" fontId="2" fillId="0" borderId="1" xfId="2" applyNumberFormat="1" applyFont="1" applyFill="1" applyBorder="1" applyAlignment="1" applyProtection="1">
      <alignment horizontal="left" vertical="center" wrapText="1"/>
    </xf>
    <xf numFmtId="0" fontId="2" fillId="0" borderId="1" xfId="2" applyNumberFormat="1" applyFont="1" applyFill="1" applyBorder="1" applyAlignment="1" applyProtection="1">
      <alignment horizontal="left" vertical="center"/>
    </xf>
    <xf numFmtId="0" fontId="4" fillId="0" borderId="1" xfId="2" applyNumberFormat="1" applyFont="1" applyFill="1" applyBorder="1" applyAlignment="1" applyProtection="1">
      <alignment horizontal="left" vertical="center" wrapText="1"/>
    </xf>
    <xf numFmtId="0" fontId="4" fillId="0" borderId="1" xfId="2" applyNumberFormat="1" applyFont="1" applyFill="1" applyBorder="1" applyAlignment="1" applyProtection="1">
      <alignment horizontal="left" vertical="top" wrapText="1"/>
    </xf>
    <xf numFmtId="0" fontId="2" fillId="0" borderId="1" xfId="2" applyNumberFormat="1" applyFont="1" applyFill="1" applyBorder="1" applyAlignment="1" applyProtection="1">
      <alignment horizontal="left" vertical="distributed"/>
    </xf>
    <xf numFmtId="0" fontId="2" fillId="0" borderId="1" xfId="2" applyNumberFormat="1" applyFont="1" applyFill="1" applyBorder="1" applyAlignment="1" applyProtection="1">
      <alignment horizontal="justify" vertical="center"/>
    </xf>
    <xf numFmtId="0" fontId="2" fillId="0" borderId="1" xfId="2" applyNumberFormat="1" applyFont="1" applyFill="1" applyBorder="1" applyAlignment="1" applyProtection="1">
      <alignment horizontal="left" vertical="top" wrapText="1"/>
    </xf>
    <xf numFmtId="0" fontId="4" fillId="0" borderId="1" xfId="2" applyNumberFormat="1" applyFont="1" applyFill="1" applyBorder="1" applyAlignment="1" applyProtection="1">
      <alignment horizontal="justify" vertical="top" wrapText="1"/>
    </xf>
    <xf numFmtId="0" fontId="1" fillId="2" borderId="2" xfId="0" applyFont="1" applyFill="1" applyBorder="1" applyAlignment="1">
      <alignment horizontal="center" vertical="center" wrapText="1"/>
    </xf>
    <xf numFmtId="0" fontId="6" fillId="0" borderId="0" xfId="2" applyNumberFormat="1" applyFont="1" applyFill="1" applyBorder="1" applyAlignment="1" applyProtection="1">
      <alignment vertical="top"/>
    </xf>
    <xf numFmtId="9" fontId="6" fillId="0" borderId="0" xfId="2" applyNumberFormat="1" applyFont="1" applyFill="1" applyBorder="1" applyAlignment="1" applyProtection="1">
      <alignment vertical="top"/>
    </xf>
    <xf numFmtId="0" fontId="11" fillId="5" borderId="1" xfId="0" applyNumberFormat="1" applyFont="1" applyFill="1" applyBorder="1" applyAlignment="1" applyProtection="1">
      <alignment horizontal="left" vertical="center" wrapText="1"/>
    </xf>
    <xf numFmtId="0" fontId="8" fillId="5" borderId="1" xfId="0" applyNumberFormat="1" applyFont="1" applyFill="1" applyBorder="1" applyAlignment="1" applyProtection="1">
      <alignment horizontal="left" vertical="center" wrapText="1"/>
    </xf>
    <xf numFmtId="0" fontId="11" fillId="5" borderId="1" xfId="2" applyNumberFormat="1" applyFont="1" applyFill="1" applyBorder="1" applyAlignment="1" applyProtection="1">
      <alignment horizontal="left" vertical="center" wrapText="1"/>
    </xf>
    <xf numFmtId="0" fontId="12" fillId="5" borderId="1" xfId="2" applyNumberFormat="1" applyFont="1" applyFill="1" applyBorder="1" applyAlignment="1" applyProtection="1">
      <alignment horizontal="left" vertical="center" wrapText="1"/>
    </xf>
    <xf numFmtId="0" fontId="12" fillId="5" borderId="1" xfId="0" applyNumberFormat="1" applyFont="1" applyFill="1" applyBorder="1" applyAlignment="1" applyProtection="1">
      <alignment horizontal="left" vertical="center" wrapText="1"/>
    </xf>
    <xf numFmtId="0" fontId="8" fillId="5" borderId="4" xfId="0" applyNumberFormat="1" applyFont="1" applyFill="1" applyBorder="1" applyAlignment="1" applyProtection="1">
      <alignment horizontal="center" vertical="center"/>
    </xf>
    <xf numFmtId="0" fontId="4" fillId="5" borderId="4" xfId="0" applyNumberFormat="1" applyFont="1" applyFill="1" applyBorder="1" applyAlignment="1" applyProtection="1">
      <alignment horizontal="center" vertical="center" wrapText="1"/>
    </xf>
    <xf numFmtId="0" fontId="2" fillId="5" borderId="4" xfId="0" applyNumberFormat="1" applyFont="1" applyFill="1" applyBorder="1" applyAlignment="1" applyProtection="1">
      <alignment horizontal="center" vertical="center" wrapText="1"/>
    </xf>
    <xf numFmtId="0" fontId="4" fillId="5" borderId="1" xfId="0" applyNumberFormat="1" applyFont="1" applyFill="1" applyBorder="1" applyAlignment="1" applyProtection="1">
      <alignment horizontal="center" vertical="center"/>
    </xf>
    <xf numFmtId="0" fontId="8" fillId="5" borderId="1" xfId="0" applyNumberFormat="1" applyFont="1" applyFill="1" applyBorder="1" applyAlignment="1" applyProtection="1">
      <alignment horizontal="center" vertical="center"/>
    </xf>
    <xf numFmtId="0" fontId="4" fillId="5" borderId="4" xfId="2" applyNumberFormat="1" applyFont="1" applyFill="1" applyBorder="1" applyAlignment="1" applyProtection="1">
      <alignment horizontal="center" vertical="center"/>
    </xf>
    <xf numFmtId="0" fontId="2" fillId="5" borderId="1" xfId="2" applyNumberFormat="1" applyFont="1" applyFill="1" applyBorder="1" applyAlignment="1" applyProtection="1">
      <alignment horizontal="center" vertical="center"/>
    </xf>
    <xf numFmtId="0" fontId="2" fillId="5" borderId="4" xfId="2" applyNumberFormat="1" applyFont="1" applyFill="1" applyBorder="1" applyAlignment="1" applyProtection="1">
      <alignment horizontal="center" vertical="center"/>
    </xf>
    <xf numFmtId="0" fontId="2" fillId="5" borderId="1" xfId="0" applyNumberFormat="1" applyFont="1" applyFill="1" applyBorder="1" applyAlignment="1" applyProtection="1">
      <alignment horizontal="center" vertical="center"/>
    </xf>
    <xf numFmtId="49" fontId="2" fillId="5" borderId="1" xfId="0" applyNumberFormat="1" applyFont="1" applyFill="1" applyBorder="1" applyAlignment="1">
      <alignment horizontal="center" vertical="center"/>
    </xf>
    <xf numFmtId="0" fontId="4" fillId="5" borderId="1" xfId="0" applyNumberFormat="1" applyFont="1" applyFill="1" applyBorder="1" applyAlignment="1" applyProtection="1">
      <alignment horizontal="left" vertical="center" wrapText="1"/>
    </xf>
    <xf numFmtId="0" fontId="2" fillId="5" borderId="1" xfId="0" applyNumberFormat="1" applyFont="1" applyFill="1" applyBorder="1" applyAlignment="1" applyProtection="1">
      <alignment horizontal="left" vertical="center" wrapText="1"/>
    </xf>
    <xf numFmtId="49" fontId="4" fillId="5" borderId="1" xfId="0" applyNumberFormat="1" applyFont="1" applyFill="1" applyBorder="1" applyAlignment="1">
      <alignment horizontal="center" vertical="center"/>
    </xf>
    <xf numFmtId="0" fontId="4" fillId="5" borderId="1" xfId="0" applyNumberFormat="1" applyFont="1" applyFill="1" applyBorder="1" applyAlignment="1" applyProtection="1">
      <alignment horizontal="center" vertical="center" wrapText="1"/>
    </xf>
    <xf numFmtId="0" fontId="2" fillId="5" borderId="1" xfId="0" applyNumberFormat="1" applyFont="1" applyFill="1" applyBorder="1" applyAlignment="1" applyProtection="1">
      <alignment horizontal="center" vertical="center" wrapText="1"/>
    </xf>
    <xf numFmtId="0" fontId="4" fillId="0" borderId="1" xfId="2" applyNumberFormat="1" applyFont="1" applyFill="1" applyBorder="1" applyAlignment="1" applyProtection="1">
      <alignment horizontal="center" vertical="center"/>
    </xf>
    <xf numFmtId="0" fontId="2" fillId="0" borderId="1" xfId="2" applyNumberFormat="1" applyFont="1" applyFill="1" applyBorder="1" applyAlignment="1" applyProtection="1">
      <alignment horizontal="center" vertical="center"/>
    </xf>
    <xf numFmtId="0" fontId="12" fillId="0" borderId="1" xfId="2" applyNumberFormat="1" applyFont="1" applyFill="1" applyBorder="1" applyAlignment="1" applyProtection="1">
      <alignment horizontal="left" vertical="center"/>
    </xf>
    <xf numFmtId="0" fontId="2" fillId="2" borderId="1" xfId="2" applyNumberFormat="1" applyFont="1" applyFill="1" applyBorder="1" applyAlignment="1" applyProtection="1">
      <alignment horizontal="center" vertical="center"/>
    </xf>
    <xf numFmtId="0" fontId="6" fillId="2" borderId="0" xfId="0" applyNumberFormat="1" applyFont="1" applyFill="1" applyBorder="1" applyAlignment="1" applyProtection="1">
      <alignment vertical="top"/>
    </xf>
    <xf numFmtId="0" fontId="11" fillId="2" borderId="1" xfId="2" applyNumberFormat="1" applyFont="1" applyFill="1" applyBorder="1" applyAlignment="1" applyProtection="1">
      <alignment horizontal="left" vertical="center" wrapText="1"/>
    </xf>
    <xf numFmtId="0" fontId="1" fillId="2" borderId="1" xfId="0" applyFont="1" applyFill="1" applyBorder="1" applyAlignment="1">
      <alignment horizontal="center"/>
    </xf>
    <xf numFmtId="167" fontId="1" fillId="2" borderId="1" xfId="0" applyNumberFormat="1" applyFont="1" applyFill="1" applyBorder="1" applyAlignment="1">
      <alignment horizontal="center"/>
    </xf>
    <xf numFmtId="0" fontId="4" fillId="3" borderId="1" xfId="2" applyNumberFormat="1" applyFont="1" applyFill="1" applyBorder="1" applyAlignment="1" applyProtection="1">
      <alignment horizontal="center" vertical="center"/>
    </xf>
    <xf numFmtId="0" fontId="2" fillId="3" borderId="1" xfId="2" applyNumberFormat="1" applyFont="1" applyFill="1" applyBorder="1" applyAlignment="1" applyProtection="1">
      <alignment horizontal="center" vertical="center"/>
    </xf>
    <xf numFmtId="0" fontId="4" fillId="5" borderId="1" xfId="2" applyNumberFormat="1" applyFont="1" applyFill="1" applyBorder="1" applyAlignment="1" applyProtection="1">
      <alignment horizontal="left" vertical="center" wrapText="1"/>
    </xf>
    <xf numFmtId="0" fontId="4"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164" fontId="4" fillId="2" borderId="1" xfId="0" applyNumberFormat="1" applyFont="1" applyFill="1" applyBorder="1" applyAlignment="1">
      <alignment horizontal="center" vertical="center"/>
    </xf>
    <xf numFmtId="0" fontId="4" fillId="0" borderId="4" xfId="0" applyNumberFormat="1" applyFont="1" applyFill="1" applyBorder="1" applyAlignment="1" applyProtection="1">
      <alignment horizontal="center" vertical="center"/>
    </xf>
    <xf numFmtId="0" fontId="2" fillId="0" borderId="9"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xf numFmtId="0" fontId="4" fillId="0" borderId="9" xfId="0" applyNumberFormat="1" applyFont="1" applyFill="1" applyBorder="1" applyAlignment="1" applyProtection="1">
      <alignment horizontal="center" vertical="center"/>
    </xf>
    <xf numFmtId="0" fontId="4" fillId="0" borderId="1" xfId="2" applyNumberFormat="1" applyFont="1" applyFill="1" applyBorder="1" applyAlignment="1" applyProtection="1">
      <alignment horizontal="left" vertical="justify" wrapText="1"/>
    </xf>
    <xf numFmtId="0" fontId="4" fillId="3" borderId="1" xfId="2" applyNumberFormat="1" applyFont="1" applyFill="1" applyBorder="1" applyAlignment="1" applyProtection="1">
      <alignment horizontal="left" vertical="center" wrapText="1"/>
    </xf>
    <xf numFmtId="49" fontId="4" fillId="3" borderId="1" xfId="0" applyNumberFormat="1" applyFont="1" applyFill="1" applyBorder="1" applyAlignment="1">
      <alignment horizontal="center" vertical="center"/>
    </xf>
    <xf numFmtId="0" fontId="2" fillId="3" borderId="1" xfId="2" applyNumberFormat="1" applyFont="1" applyFill="1" applyBorder="1" applyAlignment="1" applyProtection="1">
      <alignment horizontal="left" vertical="center" wrapText="1"/>
    </xf>
    <xf numFmtId="49" fontId="2" fillId="3" borderId="1" xfId="0" applyNumberFormat="1" applyFont="1" applyFill="1" applyBorder="1" applyAlignment="1">
      <alignment horizontal="center" vertical="center"/>
    </xf>
    <xf numFmtId="0" fontId="2" fillId="3" borderId="1" xfId="2" applyNumberFormat="1" applyFont="1" applyFill="1" applyBorder="1" applyAlignment="1" applyProtection="1">
      <alignment horizontal="left" vertical="center"/>
    </xf>
    <xf numFmtId="0" fontId="14" fillId="3" borderId="1" xfId="0" applyNumberFormat="1" applyFont="1" applyFill="1" applyBorder="1" applyAlignment="1" applyProtection="1">
      <alignment vertical="distributed"/>
    </xf>
    <xf numFmtId="0" fontId="13" fillId="3" borderId="1" xfId="0" applyNumberFormat="1" applyFont="1" applyFill="1" applyBorder="1" applyAlignment="1" applyProtection="1">
      <alignment horizontal="left" vertical="center" wrapText="1"/>
    </xf>
    <xf numFmtId="0" fontId="12" fillId="3" borderId="1" xfId="0" applyNumberFormat="1" applyFont="1" applyFill="1" applyBorder="1" applyAlignment="1" applyProtection="1">
      <alignment horizontal="left" vertical="center" wrapText="1"/>
    </xf>
    <xf numFmtId="0" fontId="12" fillId="3" borderId="1" xfId="2" applyNumberFormat="1" applyFont="1" applyFill="1" applyBorder="1" applyAlignment="1" applyProtection="1">
      <alignment horizontal="left" vertical="center" wrapText="1"/>
    </xf>
    <xf numFmtId="4" fontId="2" fillId="2" borderId="1" xfId="0" applyNumberFormat="1" applyFont="1" applyFill="1" applyBorder="1" applyAlignment="1">
      <alignment horizontal="center" vertical="center"/>
    </xf>
    <xf numFmtId="4" fontId="2" fillId="0" borderId="1" xfId="0" applyNumberFormat="1" applyFont="1" applyFill="1" applyBorder="1" applyAlignment="1" applyProtection="1">
      <alignment horizontal="center" vertical="center"/>
    </xf>
    <xf numFmtId="4" fontId="4"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66" fontId="25"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0" xfId="0" applyFont="1" applyFill="1"/>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0" fontId="4"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justify" vertical="center" wrapText="1"/>
    </xf>
    <xf numFmtId="0" fontId="2"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justify"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pplyProtection="1">
      <alignment horizontal="justify" vertical="center"/>
    </xf>
    <xf numFmtId="4" fontId="4" fillId="2" borderId="1" xfId="0" applyNumberFormat="1" applyFont="1" applyFill="1" applyBorder="1" applyAlignment="1">
      <alignment horizontal="center" vertical="center"/>
    </xf>
    <xf numFmtId="0" fontId="26" fillId="0" borderId="1" xfId="0" applyNumberFormat="1" applyFont="1" applyFill="1" applyBorder="1" applyAlignment="1" applyProtection="1">
      <alignment horizontal="center" vertical="center"/>
    </xf>
    <xf numFmtId="0" fontId="27" fillId="0" borderId="1"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xf>
    <xf numFmtId="0" fontId="4" fillId="0" borderId="1" xfId="2" applyNumberFormat="1" applyFont="1" applyFill="1" applyBorder="1" applyAlignment="1" applyProtection="1">
      <alignment horizontal="center" vertical="center" wrapText="1"/>
    </xf>
    <xf numFmtId="0" fontId="2" fillId="0" borderId="1" xfId="2" applyNumberFormat="1" applyFont="1" applyFill="1" applyBorder="1" applyAlignment="1" applyProtection="1">
      <alignment horizontal="center" vertical="center" wrapText="1"/>
    </xf>
    <xf numFmtId="164" fontId="4" fillId="5" borderId="1" xfId="0" applyNumberFormat="1" applyFont="1" applyFill="1" applyBorder="1" applyAlignment="1">
      <alignment horizontal="center" vertical="center"/>
    </xf>
    <xf numFmtId="0" fontId="4" fillId="5" borderId="1" xfId="2" applyNumberFormat="1" applyFont="1" applyFill="1" applyBorder="1" applyAlignment="1" applyProtection="1">
      <alignment horizontal="center" vertical="center"/>
    </xf>
    <xf numFmtId="4" fontId="4" fillId="5" borderId="1" xfId="0" applyNumberFormat="1" applyFont="1" applyFill="1" applyBorder="1" applyAlignment="1">
      <alignment horizontal="center" vertical="center"/>
    </xf>
    <xf numFmtId="0" fontId="2" fillId="5" borderId="1" xfId="2" applyNumberFormat="1" applyFont="1" applyFill="1" applyBorder="1" applyAlignment="1" applyProtection="1">
      <alignment horizontal="left" vertical="center" wrapText="1"/>
    </xf>
    <xf numFmtId="164" fontId="2" fillId="5" borderId="1" xfId="0" applyNumberFormat="1" applyFont="1" applyFill="1" applyBorder="1" applyAlignment="1">
      <alignment horizontal="center" vertical="center"/>
    </xf>
    <xf numFmtId="4" fontId="2" fillId="5" borderId="1" xfId="0" applyNumberFormat="1" applyFont="1" applyFill="1" applyBorder="1" applyAlignment="1">
      <alignment horizontal="center" vertical="center"/>
    </xf>
    <xf numFmtId="167" fontId="2" fillId="5" borderId="1" xfId="0" applyNumberFormat="1" applyFont="1" applyFill="1" applyBorder="1" applyAlignment="1">
      <alignment horizontal="center" vertical="center"/>
    </xf>
    <xf numFmtId="0" fontId="4" fillId="3" borderId="1" xfId="2" applyNumberFormat="1" applyFont="1" applyFill="1" applyBorder="1" applyAlignment="1" applyProtection="1">
      <alignment vertical="distributed"/>
    </xf>
    <xf numFmtId="164" fontId="4" fillId="3" borderId="1" xfId="0" applyNumberFormat="1" applyFont="1" applyFill="1" applyBorder="1" applyAlignment="1">
      <alignment horizontal="center" vertical="center"/>
    </xf>
    <xf numFmtId="0" fontId="4" fillId="3" borderId="1" xfId="2" applyNumberFormat="1" applyFont="1" applyFill="1" applyBorder="1" applyAlignment="1" applyProtection="1">
      <alignment horizontal="center" vertical="center" wrapText="1"/>
    </xf>
    <xf numFmtId="4" fontId="4" fillId="3" borderId="1" xfId="0" applyNumberFormat="1" applyFont="1" applyFill="1" applyBorder="1" applyAlignment="1">
      <alignment horizontal="center" vertical="center"/>
    </xf>
    <xf numFmtId="167" fontId="2" fillId="0" borderId="0" xfId="0" applyNumberFormat="1" applyFont="1" applyFill="1"/>
    <xf numFmtId="164" fontId="2" fillId="3" borderId="1" xfId="0" applyNumberFormat="1" applyFont="1" applyFill="1" applyBorder="1" applyAlignment="1">
      <alignment horizontal="center" vertical="center"/>
    </xf>
    <xf numFmtId="0" fontId="2" fillId="3" borderId="1" xfId="2" applyNumberFormat="1" applyFont="1" applyFill="1" applyBorder="1" applyAlignment="1" applyProtection="1">
      <alignment horizontal="center" vertical="center" wrapText="1"/>
    </xf>
    <xf numFmtId="4" fontId="2" fillId="3" borderId="1" xfId="0" applyNumberFormat="1" applyFont="1" applyFill="1" applyBorder="1" applyAlignment="1">
      <alignment horizontal="center" vertical="center"/>
    </xf>
    <xf numFmtId="0" fontId="4" fillId="0" borderId="1" xfId="2" applyNumberFormat="1" applyFont="1" applyFill="1" applyBorder="1" applyAlignment="1" applyProtection="1">
      <alignment vertical="top" wrapText="1"/>
    </xf>
    <xf numFmtId="0" fontId="4" fillId="2" borderId="1" xfId="2" applyNumberFormat="1" applyFont="1" applyFill="1" applyBorder="1" applyAlignment="1" applyProtection="1">
      <alignment horizontal="center" vertical="center"/>
    </xf>
    <xf numFmtId="4" fontId="2" fillId="0" borderId="0" xfId="0" applyNumberFormat="1" applyFont="1" applyFill="1" applyAlignment="1">
      <alignment horizontal="center"/>
    </xf>
    <xf numFmtId="0" fontId="4" fillId="0" borderId="4" xfId="0" applyNumberFormat="1" applyFont="1" applyFill="1" applyBorder="1" applyAlignment="1" applyProtection="1">
      <alignment horizontal="center" vertical="center"/>
    </xf>
    <xf numFmtId="0" fontId="4" fillId="0" borderId="0" xfId="0" applyFont="1" applyFill="1"/>
    <xf numFmtId="4" fontId="2" fillId="2" borderId="0" xfId="1" applyNumberFormat="1" applyFont="1" applyFill="1" applyAlignment="1">
      <alignment horizontal="center"/>
    </xf>
    <xf numFmtId="0" fontId="2" fillId="2" borderId="1" xfId="0" applyFont="1" applyFill="1" applyBorder="1" applyAlignment="1">
      <alignment horizontal="left" vertical="center" wrapText="1"/>
    </xf>
    <xf numFmtId="166" fontId="2" fillId="2" borderId="1" xfId="0" applyNumberFormat="1" applyFont="1" applyFill="1" applyBorder="1" applyAlignment="1">
      <alignment horizontal="center" vertical="center" wrapText="1"/>
    </xf>
    <xf numFmtId="4" fontId="2" fillId="0" borderId="1" xfId="1" applyNumberFormat="1" applyFont="1" applyFill="1" applyBorder="1" applyAlignment="1" applyProtection="1">
      <alignment horizontal="center" vertical="center"/>
    </xf>
    <xf numFmtId="4" fontId="4"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2" fillId="0" borderId="0" xfId="0" applyFont="1" applyFill="1" applyAlignment="1">
      <alignment horizontal="left" vertical="center" indent="1"/>
    </xf>
    <xf numFmtId="49" fontId="2" fillId="0" borderId="0" xfId="0" applyNumberFormat="1" applyFont="1" applyFill="1" applyAlignment="1">
      <alignment horizontal="left" vertical="center" indent="1"/>
    </xf>
    <xf numFmtId="0" fontId="2" fillId="0" borderId="0" xfId="0" applyFont="1" applyFill="1" applyAlignment="1">
      <alignment vertical="center"/>
    </xf>
    <xf numFmtId="0" fontId="2" fillId="0" borderId="0" xfId="0" applyFont="1" applyFill="1" applyAlignment="1">
      <alignment horizontal="right" vertical="center"/>
    </xf>
    <xf numFmtId="4" fontId="2" fillId="0"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xf>
    <xf numFmtId="166" fontId="4" fillId="2" borderId="1" xfId="0" applyNumberFormat="1" applyFont="1" applyFill="1" applyBorder="1" applyAlignment="1">
      <alignment horizontal="center" vertical="center" wrapText="1"/>
    </xf>
    <xf numFmtId="167" fontId="4" fillId="0" borderId="0" xfId="0" applyNumberFormat="1" applyFont="1" applyFill="1"/>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1" xfId="0" applyNumberFormat="1" applyFont="1" applyFill="1" applyBorder="1" applyAlignment="1" applyProtection="1">
      <alignment horizontal="justify" vertical="distributed"/>
    </xf>
    <xf numFmtId="9" fontId="2" fillId="0" borderId="0" xfId="0" applyNumberFormat="1" applyFont="1" applyFill="1"/>
    <xf numFmtId="0" fontId="4" fillId="3"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left" vertical="center" wrapText="1"/>
    </xf>
    <xf numFmtId="0" fontId="2" fillId="2" borderId="0" xfId="0" applyFont="1" applyFill="1" applyAlignment="1">
      <alignment vertical="center"/>
    </xf>
    <xf numFmtId="0" fontId="2" fillId="2" borderId="0" xfId="0" applyFont="1" applyFill="1"/>
    <xf numFmtId="49" fontId="2" fillId="2" borderId="0" xfId="0" applyNumberFormat="1" applyFont="1" applyFill="1"/>
    <xf numFmtId="4" fontId="2" fillId="2" borderId="0" xfId="0" applyNumberFormat="1" applyFont="1" applyFill="1" applyAlignment="1">
      <alignment horizontal="center"/>
    </xf>
    <xf numFmtId="4" fontId="2" fillId="3" borderId="1" xfId="0" applyNumberFormat="1" applyFont="1" applyFill="1" applyBorder="1" applyAlignment="1">
      <alignment horizontal="center"/>
    </xf>
    <xf numFmtId="0" fontId="2" fillId="2" borderId="0" xfId="0" applyFont="1" applyFill="1" applyAlignment="1">
      <alignment horizontal="right"/>
    </xf>
    <xf numFmtId="4" fontId="2" fillId="2" borderId="1" xfId="0" applyNumberFormat="1" applyFont="1" applyFill="1" applyBorder="1" applyAlignment="1">
      <alignment horizontal="center"/>
    </xf>
    <xf numFmtId="4" fontId="4" fillId="0" borderId="0" xfId="0" applyNumberFormat="1" applyFont="1" applyFill="1" applyAlignment="1">
      <alignment horizontal="center"/>
    </xf>
    <xf numFmtId="4" fontId="4" fillId="2" borderId="0" xfId="0" applyNumberFormat="1" applyFont="1" applyFill="1" applyAlignment="1">
      <alignment horizontal="center"/>
    </xf>
    <xf numFmtId="0" fontId="2" fillId="2" borderId="0" xfId="0" applyFont="1" applyFill="1" applyAlignment="1">
      <alignment horizontal="center"/>
    </xf>
    <xf numFmtId="4" fontId="4" fillId="0" borderId="1" xfId="0" applyNumberFormat="1" applyFont="1" applyFill="1" applyBorder="1" applyAlignment="1">
      <alignment horizontal="center"/>
    </xf>
    <xf numFmtId="4" fontId="4" fillId="2" borderId="1" xfId="0" applyNumberFormat="1" applyFont="1" applyFill="1" applyBorder="1" applyAlignment="1">
      <alignment horizontal="center"/>
    </xf>
    <xf numFmtId="49" fontId="2" fillId="0" borderId="0" xfId="0" applyNumberFormat="1" applyFont="1" applyFill="1"/>
    <xf numFmtId="168" fontId="4" fillId="4" borderId="1" xfId="0" applyNumberFormat="1" applyFont="1" applyFill="1" applyBorder="1" applyAlignment="1" applyProtection="1">
      <alignment horizontal="center" vertical="center"/>
    </xf>
    <xf numFmtId="168" fontId="8" fillId="2" borderId="1" xfId="0" applyNumberFormat="1" applyFont="1" applyFill="1" applyBorder="1" applyAlignment="1" applyProtection="1">
      <alignment horizontal="center" vertical="center"/>
    </xf>
    <xf numFmtId="168" fontId="4" fillId="0" borderId="1" xfId="0" applyNumberFormat="1" applyFont="1" applyFill="1" applyBorder="1" applyAlignment="1" applyProtection="1">
      <alignment horizontal="center" vertical="top"/>
    </xf>
    <xf numFmtId="168" fontId="2" fillId="0" borderId="1" xfId="0" applyNumberFormat="1" applyFont="1" applyFill="1" applyBorder="1" applyAlignment="1" applyProtection="1">
      <alignment horizontal="center" vertical="top"/>
    </xf>
    <xf numFmtId="168" fontId="8" fillId="0" borderId="1" xfId="1" applyNumberFormat="1" applyFont="1" applyFill="1" applyBorder="1" applyAlignment="1" applyProtection="1">
      <alignment horizontal="center" vertical="center"/>
    </xf>
    <xf numFmtId="168" fontId="4" fillId="0" borderId="1" xfId="1" applyNumberFormat="1" applyFont="1" applyFill="1" applyBorder="1" applyAlignment="1" applyProtection="1">
      <alignment horizontal="center" vertical="center"/>
    </xf>
    <xf numFmtId="168" fontId="2" fillId="0" borderId="1" xfId="1" applyNumberFormat="1" applyFont="1" applyFill="1" applyBorder="1" applyAlignment="1" applyProtection="1">
      <alignment horizontal="center" vertical="center"/>
    </xf>
    <xf numFmtId="168" fontId="4" fillId="3" borderId="1" xfId="0" applyNumberFormat="1" applyFont="1" applyFill="1" applyBorder="1" applyAlignment="1" applyProtection="1">
      <alignment horizontal="center" vertical="center"/>
    </xf>
    <xf numFmtId="168" fontId="2" fillId="3" borderId="1" xfId="0" applyNumberFormat="1" applyFont="1" applyFill="1" applyBorder="1" applyAlignment="1" applyProtection="1">
      <alignment horizontal="center" vertical="center"/>
    </xf>
    <xf numFmtId="168" fontId="2" fillId="3" borderId="7" xfId="0" applyNumberFormat="1" applyFont="1" applyFill="1" applyBorder="1" applyAlignment="1" applyProtection="1">
      <alignment horizontal="center" vertical="center"/>
    </xf>
    <xf numFmtId="168" fontId="4" fillId="0" borderId="1" xfId="1" applyNumberFormat="1" applyFont="1" applyFill="1" applyBorder="1" applyAlignment="1" applyProtection="1">
      <alignment horizontal="center" vertical="top"/>
    </xf>
    <xf numFmtId="168" fontId="2" fillId="0" borderId="1" xfId="1" applyNumberFormat="1" applyFont="1" applyFill="1" applyBorder="1" applyAlignment="1" applyProtection="1">
      <alignment horizontal="center" vertical="top"/>
    </xf>
    <xf numFmtId="168" fontId="4" fillId="3" borderId="1" xfId="1" applyNumberFormat="1" applyFont="1" applyFill="1" applyBorder="1" applyAlignment="1" applyProtection="1">
      <alignment horizontal="center" vertical="center"/>
    </xf>
    <xf numFmtId="168" fontId="2" fillId="3" borderId="1" xfId="1" applyNumberFormat="1" applyFont="1" applyFill="1" applyBorder="1" applyAlignment="1" applyProtection="1">
      <alignment horizontal="left" vertical="center"/>
    </xf>
    <xf numFmtId="168" fontId="2" fillId="3" borderId="1" xfId="1" applyNumberFormat="1" applyFont="1" applyFill="1" applyBorder="1" applyAlignment="1" applyProtection="1">
      <alignment horizontal="center" vertical="top"/>
    </xf>
    <xf numFmtId="168" fontId="4" fillId="2" borderId="1" xfId="0" applyNumberFormat="1" applyFont="1" applyFill="1" applyBorder="1" applyAlignment="1" applyProtection="1">
      <alignment horizontal="center" vertical="center"/>
    </xf>
    <xf numFmtId="168" fontId="2" fillId="2" borderId="1" xfId="0" applyNumberFormat="1" applyFont="1" applyFill="1" applyBorder="1" applyAlignment="1" applyProtection="1">
      <alignment horizontal="center" vertical="center"/>
    </xf>
    <xf numFmtId="168" fontId="8" fillId="5" borderId="1" xfId="0" applyNumberFormat="1" applyFont="1" applyFill="1" applyBorder="1" applyAlignment="1" applyProtection="1">
      <alignment horizontal="center" vertical="center"/>
    </xf>
    <xf numFmtId="168" fontId="4" fillId="5" borderId="1" xfId="0" applyNumberFormat="1" applyFont="1" applyFill="1" applyBorder="1" applyAlignment="1" applyProtection="1">
      <alignment horizontal="center" vertical="center"/>
    </xf>
    <xf numFmtId="168" fontId="2" fillId="5" borderId="1" xfId="0" applyNumberFormat="1" applyFont="1" applyFill="1" applyBorder="1" applyAlignment="1" applyProtection="1">
      <alignment horizontal="center" vertical="center"/>
    </xf>
    <xf numFmtId="168" fontId="4" fillId="4" borderId="1" xfId="0" applyNumberFormat="1" applyFont="1" applyFill="1" applyBorder="1" applyAlignment="1" applyProtection="1">
      <alignment vertical="center"/>
    </xf>
    <xf numFmtId="168" fontId="4" fillId="0" borderId="1" xfId="0" applyNumberFormat="1" applyFont="1" applyFill="1" applyBorder="1" applyAlignment="1" applyProtection="1">
      <alignment horizontal="center" vertical="center"/>
    </xf>
    <xf numFmtId="168" fontId="2" fillId="0" borderId="1" xfId="0" applyNumberFormat="1" applyFont="1" applyFill="1" applyBorder="1" applyAlignment="1" applyProtection="1">
      <alignment horizontal="center" vertical="center"/>
    </xf>
    <xf numFmtId="168" fontId="4" fillId="0" borderId="2" xfId="0" applyNumberFormat="1" applyFont="1" applyFill="1" applyBorder="1" applyAlignment="1" applyProtection="1">
      <alignment horizontal="center" vertical="center"/>
    </xf>
    <xf numFmtId="168" fontId="2" fillId="0" borderId="2" xfId="0" applyNumberFormat="1" applyFont="1" applyFill="1" applyBorder="1" applyAlignment="1" applyProtection="1">
      <alignment horizontal="center" vertical="center"/>
    </xf>
    <xf numFmtId="168" fontId="4" fillId="0" borderId="2" xfId="1" applyNumberFormat="1" applyFont="1" applyFill="1" applyBorder="1" applyAlignment="1" applyProtection="1">
      <alignment horizontal="center" vertical="center"/>
    </xf>
    <xf numFmtId="168" fontId="2" fillId="3" borderId="1" xfId="1" applyNumberFormat="1" applyFont="1" applyFill="1" applyBorder="1" applyAlignment="1" applyProtection="1">
      <alignment horizontal="center" vertical="center"/>
    </xf>
    <xf numFmtId="168" fontId="4" fillId="0" borderId="1" xfId="1" applyNumberFormat="1" applyFont="1" applyFill="1" applyBorder="1" applyAlignment="1" applyProtection="1">
      <alignment horizontal="left" vertical="center"/>
    </xf>
    <xf numFmtId="168" fontId="21" fillId="0" borderId="1" xfId="1" applyNumberFormat="1" applyFont="1" applyFill="1" applyBorder="1" applyAlignment="1" applyProtection="1">
      <alignment horizontal="center" vertical="center"/>
    </xf>
    <xf numFmtId="168" fontId="1" fillId="2" borderId="0" xfId="1" applyNumberFormat="1" applyFont="1" applyFill="1" applyAlignment="1">
      <alignment horizontal="center"/>
    </xf>
    <xf numFmtId="168" fontId="1" fillId="2" borderId="0" xfId="0" applyNumberFormat="1" applyFont="1" applyFill="1" applyAlignment="1">
      <alignment horizontal="center"/>
    </xf>
    <xf numFmtId="168" fontId="1" fillId="3" borderId="1" xfId="0" applyNumberFormat="1" applyFont="1" applyFill="1" applyBorder="1" applyAlignment="1">
      <alignment horizontal="center"/>
    </xf>
    <xf numFmtId="9" fontId="2" fillId="0" borderId="0" xfId="0" applyNumberFormat="1" applyFont="1" applyFill="1" applyAlignment="1">
      <alignment horizontal="center"/>
    </xf>
    <xf numFmtId="0" fontId="2" fillId="0" borderId="0" xfId="0" applyFont="1" applyAlignment="1">
      <alignment horizontal="center" vertical="center" wrapText="1"/>
    </xf>
    <xf numFmtId="0" fontId="2" fillId="0" borderId="0" xfId="0" applyNumberFormat="1" applyFont="1" applyFill="1" applyBorder="1" applyAlignment="1" applyProtection="1">
      <alignment horizontal="right" vertical="top"/>
    </xf>
    <xf numFmtId="0" fontId="4" fillId="0" borderId="4" xfId="0" applyNumberFormat="1" applyFont="1" applyFill="1" applyBorder="1" applyAlignment="1" applyProtection="1">
      <alignment horizontal="center" vertical="center"/>
    </xf>
    <xf numFmtId="16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167" fontId="3"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xf>
    <xf numFmtId="164" fontId="1" fillId="5" borderId="1" xfId="0" applyNumberFormat="1" applyFont="1" applyFill="1" applyBorder="1" applyAlignment="1">
      <alignment horizontal="center" vertical="center"/>
    </xf>
    <xf numFmtId="167" fontId="1" fillId="5" borderId="1" xfId="0" applyNumberFormat="1" applyFont="1" applyFill="1" applyBorder="1" applyAlignment="1">
      <alignment horizontal="center" vertical="center"/>
    </xf>
    <xf numFmtId="4" fontId="3" fillId="5" borderId="1" xfId="0" applyNumberFormat="1" applyFont="1" applyFill="1" applyBorder="1" applyAlignment="1">
      <alignment horizontal="center" vertical="center"/>
    </xf>
    <xf numFmtId="4" fontId="1" fillId="5" borderId="1" xfId="0" applyNumberFormat="1" applyFont="1" applyFill="1" applyBorder="1" applyAlignment="1">
      <alignment horizontal="center" vertical="center"/>
    </xf>
    <xf numFmtId="0" fontId="4" fillId="0" borderId="4" xfId="0" applyNumberFormat="1" applyFont="1" applyFill="1" applyBorder="1" applyAlignment="1" applyProtection="1">
      <alignment horizontal="center" vertical="center"/>
    </xf>
    <xf numFmtId="0" fontId="4" fillId="5" borderId="4" xfId="0" applyNumberFormat="1" applyFont="1" applyFill="1" applyBorder="1" applyAlignment="1" applyProtection="1">
      <alignment horizontal="center" vertical="center"/>
    </xf>
    <xf numFmtId="0" fontId="3" fillId="5" borderId="1" xfId="0"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0" fontId="2" fillId="5" borderId="4" xfId="0" applyNumberFormat="1" applyFont="1" applyFill="1" applyBorder="1" applyAlignment="1" applyProtection="1">
      <alignment horizontal="center" vertical="center"/>
    </xf>
    <xf numFmtId="0" fontId="1" fillId="5" borderId="1" xfId="0" applyFont="1" applyFill="1" applyBorder="1" applyAlignment="1">
      <alignment horizontal="center" vertical="center" wrapText="1"/>
    </xf>
    <xf numFmtId="4" fontId="1" fillId="5"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xf>
    <xf numFmtId="0" fontId="4" fillId="0" borderId="4" xfId="0" applyNumberFormat="1" applyFont="1" applyFill="1" applyBorder="1" applyAlignment="1" applyProtection="1">
      <alignment horizontal="center" vertical="center"/>
    </xf>
    <xf numFmtId="16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4" fillId="0" borderId="4" xfId="0" applyNumberFormat="1" applyFont="1" applyFill="1" applyBorder="1" applyAlignment="1" applyProtection="1">
      <alignment horizontal="center" vertical="center"/>
    </xf>
    <xf numFmtId="164" fontId="4" fillId="2" borderId="1" xfId="0" applyNumberFormat="1" applyFont="1" applyFill="1" applyBorder="1" applyAlignment="1">
      <alignment horizontal="center" vertical="center"/>
    </xf>
    <xf numFmtId="0" fontId="4" fillId="0" borderId="4" xfId="0" applyNumberFormat="1" applyFont="1" applyFill="1" applyBorder="1" applyAlignment="1" applyProtection="1">
      <alignment horizontal="center" vertical="center"/>
    </xf>
    <xf numFmtId="0" fontId="4" fillId="2" borderId="1" xfId="2" applyNumberFormat="1" applyFont="1" applyFill="1" applyBorder="1" applyAlignment="1" applyProtection="1">
      <alignment horizontal="left" vertical="center" wrapText="1"/>
    </xf>
    <xf numFmtId="0" fontId="4" fillId="2" borderId="1" xfId="2" applyNumberFormat="1" applyFont="1" applyFill="1" applyBorder="1" applyAlignment="1" applyProtection="1">
      <alignment vertical="distributed"/>
    </xf>
    <xf numFmtId="0" fontId="2" fillId="2" borderId="1" xfId="2" applyNumberFormat="1" applyFont="1" applyFill="1" applyBorder="1" applyAlignment="1" applyProtection="1">
      <alignment horizontal="left" vertical="center" wrapText="1"/>
    </xf>
    <xf numFmtId="0" fontId="28" fillId="0" borderId="0" xfId="0" applyNumberFormat="1" applyFont="1" applyFill="1" applyBorder="1" applyAlignment="1" applyProtection="1">
      <alignment vertical="top"/>
    </xf>
    <xf numFmtId="0" fontId="11" fillId="2" borderId="1" xfId="2" applyNumberFormat="1" applyFont="1" applyFill="1" applyBorder="1" applyAlignment="1" applyProtection="1">
      <alignment vertical="distributed"/>
    </xf>
    <xf numFmtId="0" fontId="12" fillId="2" borderId="1" xfId="2" applyNumberFormat="1" applyFont="1" applyFill="1" applyBorder="1" applyAlignment="1" applyProtection="1">
      <alignment horizontal="left" vertical="center" wrapText="1"/>
    </xf>
    <xf numFmtId="16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9" fillId="5" borderId="1" xfId="0" applyNumberFormat="1" applyFont="1" applyFill="1" applyBorder="1" applyAlignment="1">
      <alignment horizontal="center" vertical="center"/>
    </xf>
    <xf numFmtId="4" fontId="2" fillId="0" borderId="0" xfId="0" applyNumberFormat="1" applyFont="1" applyFill="1" applyAlignment="1">
      <alignment horizontal="center"/>
    </xf>
    <xf numFmtId="4" fontId="2" fillId="0" borderId="0" xfId="0" applyNumberFormat="1" applyFont="1" applyFill="1"/>
    <xf numFmtId="0" fontId="30" fillId="0" borderId="0" xfId="0" applyFont="1" applyFill="1"/>
    <xf numFmtId="0" fontId="4" fillId="0" borderId="4" xfId="0" applyNumberFormat="1" applyFont="1" applyFill="1" applyBorder="1" applyAlignment="1" applyProtection="1">
      <alignment horizontal="center" vertical="center"/>
    </xf>
    <xf numFmtId="0" fontId="11" fillId="0" borderId="1" xfId="0" applyNumberFormat="1" applyFont="1" applyFill="1" applyBorder="1" applyAlignment="1" applyProtection="1">
      <alignment horizontal="left" vertical="top" wrapText="1"/>
    </xf>
    <xf numFmtId="4" fontId="2"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0" fontId="4" fillId="0" borderId="4" xfId="0" applyNumberFormat="1" applyFont="1" applyFill="1" applyBorder="1" applyAlignment="1" applyProtection="1">
      <alignment horizontal="center" vertical="center"/>
    </xf>
    <xf numFmtId="0" fontId="3" fillId="0" borderId="1" xfId="0" applyFont="1" applyFill="1" applyBorder="1" applyAlignment="1">
      <alignment horizontal="left" vertical="center" wrapText="1"/>
    </xf>
    <xf numFmtId="164" fontId="3"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1" fillId="0" borderId="1" xfId="0" applyFont="1" applyFill="1" applyBorder="1" applyAlignment="1">
      <alignment horizontal="left" vertical="center" wrapText="1"/>
    </xf>
    <xf numFmtId="0" fontId="32" fillId="0" borderId="1" xfId="0" applyFont="1" applyFill="1" applyBorder="1" applyAlignment="1">
      <alignment horizontal="left" vertical="center" wrapText="1"/>
    </xf>
    <xf numFmtId="168" fontId="2" fillId="0" borderId="1" xfId="1" applyNumberFormat="1" applyFont="1" applyFill="1" applyBorder="1" applyAlignment="1" applyProtection="1">
      <alignment horizontal="left" vertical="center"/>
    </xf>
    <xf numFmtId="0" fontId="11" fillId="0" borderId="1" xfId="2" applyNumberFormat="1" applyFont="1" applyFill="1" applyBorder="1" applyAlignment="1" applyProtection="1">
      <alignment horizontal="left" vertical="top" wrapText="1"/>
    </xf>
    <xf numFmtId="0" fontId="12" fillId="0" borderId="1" xfId="2" applyNumberFormat="1" applyFont="1" applyFill="1" applyBorder="1" applyAlignment="1" applyProtection="1">
      <alignment horizontal="left" vertical="top" wrapText="1"/>
    </xf>
    <xf numFmtId="0" fontId="12" fillId="0" borderId="1" xfId="2" applyNumberFormat="1" applyFont="1" applyFill="1" applyBorder="1" applyAlignment="1" applyProtection="1">
      <alignment horizontal="left" vertical="center" wrapText="1"/>
    </xf>
    <xf numFmtId="4" fontId="2"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4" fontId="2" fillId="2" borderId="2" xfId="0" applyNumberFormat="1" applyFont="1" applyFill="1" applyBorder="1" applyAlignment="1">
      <alignment horizontal="center" vertical="center" wrapText="1"/>
    </xf>
    <xf numFmtId="4" fontId="4" fillId="2" borderId="2"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4" fillId="2"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xf>
    <xf numFmtId="0" fontId="2" fillId="2"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xf>
    <xf numFmtId="0" fontId="11" fillId="0" borderId="1" xfId="2" applyNumberFormat="1" applyFont="1" applyFill="1" applyBorder="1" applyAlignment="1" applyProtection="1">
      <alignment horizontal="left" vertical="center" wrapText="1"/>
    </xf>
    <xf numFmtId="0" fontId="12" fillId="2" borderId="1" xfId="0" applyNumberFormat="1" applyFont="1" applyFill="1" applyBorder="1" applyAlignment="1" applyProtection="1">
      <alignment horizontal="left" vertical="center" wrapText="1"/>
    </xf>
    <xf numFmtId="0" fontId="11" fillId="2" borderId="1" xfId="0" applyNumberFormat="1" applyFont="1" applyFill="1" applyBorder="1" applyAlignment="1" applyProtection="1">
      <alignment horizontal="left" vertical="center" wrapText="1"/>
    </xf>
    <xf numFmtId="0" fontId="28" fillId="2" borderId="0" xfId="0" applyNumberFormat="1" applyFont="1" applyFill="1" applyBorder="1" applyAlignment="1" applyProtection="1">
      <alignment vertical="top"/>
    </xf>
    <xf numFmtId="49" fontId="4"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0" borderId="1" xfId="2" applyNumberFormat="1" applyFont="1" applyFill="1" applyBorder="1" applyAlignment="1" applyProtection="1">
      <alignment horizontal="left" vertical="center" wrapText="1"/>
    </xf>
    <xf numFmtId="0" fontId="4" fillId="0" borderId="1" xfId="2" applyNumberFormat="1" applyFont="1" applyFill="1" applyBorder="1" applyAlignment="1" applyProtection="1">
      <alignment horizontal="left" vertical="center" wrapText="1"/>
    </xf>
    <xf numFmtId="0" fontId="4" fillId="0" borderId="1" xfId="2" applyNumberFormat="1" applyFont="1" applyFill="1" applyBorder="1" applyAlignment="1" applyProtection="1">
      <alignment horizontal="center" vertical="center"/>
    </xf>
    <xf numFmtId="0" fontId="2" fillId="0" borderId="1" xfId="2" applyNumberFormat="1" applyFont="1" applyFill="1" applyBorder="1" applyAlignment="1" applyProtection="1">
      <alignment horizontal="center" vertical="center"/>
    </xf>
    <xf numFmtId="0" fontId="2" fillId="2" borderId="1" xfId="2" applyNumberFormat="1" applyFont="1" applyFill="1" applyBorder="1" applyAlignment="1" applyProtection="1">
      <alignment horizontal="center" vertical="center"/>
    </xf>
    <xf numFmtId="16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4" fillId="2" borderId="1" xfId="2" applyNumberFormat="1" applyFont="1" applyFill="1" applyBorder="1" applyAlignment="1" applyProtection="1">
      <alignment horizontal="center" vertical="center"/>
    </xf>
    <xf numFmtId="0" fontId="28" fillId="0" borderId="0" xfId="0" applyNumberFormat="1" applyFont="1" applyFill="1" applyBorder="1" applyAlignment="1" applyProtection="1">
      <alignment vertical="top"/>
    </xf>
    <xf numFmtId="0" fontId="11"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left" vertical="center" wrapText="1"/>
    </xf>
    <xf numFmtId="0" fontId="4" fillId="0" borderId="4"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left" vertical="center" wrapText="1"/>
    </xf>
    <xf numFmtId="0" fontId="17" fillId="0" borderId="1" xfId="0" applyNumberFormat="1" applyFont="1" applyFill="1" applyBorder="1" applyAlignment="1" applyProtection="1">
      <alignment horizontal="center" vertical="center"/>
    </xf>
    <xf numFmtId="168" fontId="4" fillId="0" borderId="1" xfId="0" applyNumberFormat="1" applyFont="1" applyFill="1" applyBorder="1" applyAlignment="1" applyProtection="1">
      <alignment horizontal="center" vertical="center"/>
    </xf>
    <xf numFmtId="168" fontId="2" fillId="0" borderId="1" xfId="0" applyNumberFormat="1" applyFont="1" applyFill="1" applyBorder="1" applyAlignment="1" applyProtection="1">
      <alignment horizontal="center" vertical="center"/>
    </xf>
    <xf numFmtId="16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12" fillId="2"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0" xfId="0" applyFont="1" applyFill="1"/>
    <xf numFmtId="0" fontId="33" fillId="0" borderId="0" xfId="0" applyFont="1" applyFill="1" applyAlignment="1">
      <alignment horizontal="right"/>
    </xf>
    <xf numFmtId="0" fontId="34" fillId="0" borderId="0" xfId="0" applyFont="1" applyFill="1" applyAlignment="1">
      <alignment horizontal="left" vertical="center" wrapText="1" indent="1"/>
    </xf>
    <xf numFmtId="0" fontId="34" fillId="0" borderId="0" xfId="0" applyFont="1" applyFill="1" applyAlignment="1">
      <alignment horizontal="left" vertical="center" indent="1"/>
    </xf>
    <xf numFmtId="0" fontId="34" fillId="0" borderId="0" xfId="0" applyFont="1" applyFill="1" applyAlignment="1">
      <alignment vertical="center"/>
    </xf>
    <xf numFmtId="0" fontId="35" fillId="0" borderId="0" xfId="0" applyFont="1" applyFill="1" applyAlignment="1">
      <alignment horizontal="left" vertical="top" wrapText="1"/>
    </xf>
    <xf numFmtId="0" fontId="36" fillId="0" borderId="0" xfId="0" applyFont="1" applyFill="1" applyAlignment="1">
      <alignment vertical="center" wrapText="1"/>
    </xf>
    <xf numFmtId="0" fontId="36" fillId="0" borderId="0" xfId="0" applyFont="1" applyFill="1" applyAlignment="1">
      <alignment vertical="center"/>
    </xf>
    <xf numFmtId="0" fontId="33" fillId="0" borderId="0" xfId="0" applyFont="1" applyFill="1" applyAlignment="1">
      <alignment horizontal="left"/>
    </xf>
    <xf numFmtId="0" fontId="30" fillId="0" borderId="0" xfId="0" applyFont="1" applyFill="1" applyAlignment="1">
      <alignment wrapText="1"/>
    </xf>
    <xf numFmtId="0" fontId="33" fillId="0" borderId="0" xfId="0" applyFont="1" applyFill="1" applyAlignment="1">
      <alignment wrapText="1"/>
    </xf>
    <xf numFmtId="167" fontId="35" fillId="0" borderId="0" xfId="0" applyNumberFormat="1" applyFont="1" applyFill="1" applyAlignment="1">
      <alignment horizontal="right"/>
    </xf>
    <xf numFmtId="167" fontId="35" fillId="0" borderId="0" xfId="0" applyNumberFormat="1" applyFont="1" applyFill="1" applyAlignment="1">
      <alignment horizontal="left" vertical="top" wrapText="1"/>
    </xf>
    <xf numFmtId="167" fontId="36" fillId="0" borderId="0" xfId="0" applyNumberFormat="1" applyFont="1" applyFill="1" applyAlignment="1">
      <alignment vertical="center"/>
    </xf>
    <xf numFmtId="167" fontId="2" fillId="0" borderId="1" xfId="0" applyNumberFormat="1" applyFont="1" applyFill="1" applyBorder="1" applyAlignment="1">
      <alignment horizontal="center" vertical="center" wrapText="1"/>
    </xf>
    <xf numFmtId="167" fontId="2" fillId="0" borderId="1" xfId="0" applyNumberFormat="1" applyFont="1" applyFill="1" applyBorder="1" applyAlignment="1" applyProtection="1">
      <alignment horizontal="center" vertical="center"/>
    </xf>
    <xf numFmtId="167" fontId="2" fillId="0" borderId="1" xfId="1" applyNumberFormat="1" applyFont="1" applyFill="1" applyBorder="1" applyAlignment="1" applyProtection="1">
      <alignment horizontal="center" vertical="center"/>
    </xf>
    <xf numFmtId="167" fontId="2" fillId="0" borderId="0" xfId="0" applyNumberFormat="1" applyFont="1" applyFill="1" applyAlignment="1">
      <alignment horizontal="center"/>
    </xf>
    <xf numFmtId="49"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66"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64" fontId="2" fillId="0" borderId="1" xfId="0" applyNumberFormat="1" applyFont="1" applyFill="1" applyBorder="1" applyAlignment="1">
      <alignment horizontal="center" vertical="center"/>
    </xf>
    <xf numFmtId="167" fontId="2" fillId="0" borderId="1" xfId="0" applyNumberFormat="1" applyFont="1" applyFill="1" applyBorder="1" applyAlignment="1">
      <alignment horizontal="center" vertical="center"/>
    </xf>
    <xf numFmtId="166" fontId="25" fillId="0" borderId="1" xfId="0" applyNumberFormat="1" applyFont="1" applyFill="1" applyBorder="1" applyAlignment="1">
      <alignment horizontal="center" vertical="center" wrapText="1"/>
    </xf>
    <xf numFmtId="167" fontId="1" fillId="0" borderId="1" xfId="0" applyNumberFormat="1" applyFont="1" applyFill="1" applyBorder="1" applyAlignment="1">
      <alignment horizontal="center" vertical="center" wrapText="1"/>
    </xf>
    <xf numFmtId="0" fontId="4" fillId="0" borderId="0" xfId="0" applyFont="1" applyFill="1" applyBorder="1"/>
    <xf numFmtId="0" fontId="2" fillId="0" borderId="0" xfId="0" applyFont="1" applyFill="1" applyBorder="1"/>
    <xf numFmtId="4" fontId="2" fillId="0" borderId="0" xfId="0" applyNumberFormat="1" applyFont="1" applyFill="1" applyBorder="1"/>
    <xf numFmtId="167" fontId="1" fillId="0" borderId="1" xfId="0" applyNumberFormat="1" applyFont="1" applyFill="1" applyBorder="1" applyAlignment="1">
      <alignment horizontal="center" vertical="center"/>
    </xf>
    <xf numFmtId="167" fontId="29" fillId="0" borderId="1" xfId="0" applyNumberFormat="1" applyFont="1" applyFill="1" applyBorder="1" applyAlignment="1">
      <alignment horizontal="center" vertical="center"/>
    </xf>
    <xf numFmtId="0" fontId="2" fillId="0" borderId="0" xfId="0" applyFont="1" applyFill="1" applyBorder="1" applyAlignment="1">
      <alignment vertical="center"/>
    </xf>
    <xf numFmtId="49" fontId="2" fillId="0" borderId="0" xfId="0" applyNumberFormat="1" applyFont="1" applyFill="1" applyBorder="1"/>
    <xf numFmtId="167" fontId="2" fillId="0" borderId="0" xfId="1" applyNumberFormat="1" applyFont="1" applyFill="1" applyBorder="1" applyAlignment="1">
      <alignment horizontal="center"/>
    </xf>
    <xf numFmtId="167" fontId="2"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center"/>
    </xf>
    <xf numFmtId="0" fontId="2" fillId="0" borderId="1" xfId="0" applyFont="1" applyFill="1" applyBorder="1" applyAlignment="1">
      <alignment vertical="center" wrapText="1"/>
    </xf>
    <xf numFmtId="0" fontId="2" fillId="0" borderId="1" xfId="2" applyNumberFormat="1" applyFont="1" applyFill="1" applyBorder="1" applyAlignment="1" applyProtection="1">
      <alignment horizontal="justify" vertical="top" wrapText="1"/>
    </xf>
    <xf numFmtId="0" fontId="2" fillId="0" borderId="1" xfId="2" applyNumberFormat="1" applyFont="1" applyFill="1" applyBorder="1" applyAlignment="1" applyProtection="1">
      <alignment horizontal="left" vertical="justify" wrapText="1"/>
    </xf>
    <xf numFmtId="0" fontId="2" fillId="0" borderId="1" xfId="2" applyNumberFormat="1" applyFont="1" applyFill="1" applyBorder="1" applyAlignment="1" applyProtection="1">
      <alignment vertical="distributed"/>
    </xf>
    <xf numFmtId="0" fontId="2" fillId="0" borderId="1" xfId="2" applyNumberFormat="1" applyFont="1" applyFill="1" applyBorder="1" applyAlignment="1" applyProtection="1">
      <alignment vertical="top" wrapText="1"/>
    </xf>
    <xf numFmtId="0" fontId="2" fillId="0" borderId="1" xfId="0" applyNumberFormat="1" applyFont="1" applyFill="1" applyBorder="1" applyAlignment="1" applyProtection="1">
      <alignment horizontal="justify" vertical="distributed"/>
    </xf>
    <xf numFmtId="0" fontId="2" fillId="0" borderId="1" xfId="0" applyNumberFormat="1" applyFont="1" applyFill="1" applyBorder="1" applyAlignment="1" applyProtection="1">
      <alignment horizontal="justify" vertical="center"/>
    </xf>
    <xf numFmtId="0" fontId="2" fillId="0" borderId="0" xfId="0" applyFont="1" applyFill="1" applyBorder="1" applyAlignment="1">
      <alignment horizontal="left" vertical="center" wrapText="1"/>
    </xf>
    <xf numFmtId="167" fontId="2" fillId="0" borderId="0" xfId="0" applyNumberFormat="1" applyFont="1" applyFill="1" applyBorder="1" applyAlignment="1">
      <alignment horizontal="center" vertical="center"/>
    </xf>
    <xf numFmtId="0" fontId="12" fillId="0" borderId="0" xfId="0" applyFont="1" applyFill="1" applyAlignment="1">
      <alignment horizontal="center" wrapText="1"/>
    </xf>
    <xf numFmtId="0" fontId="2" fillId="2" borderId="0" xfId="0" applyFont="1" applyFill="1" applyAlignment="1">
      <alignment horizontal="center"/>
    </xf>
    <xf numFmtId="0" fontId="2" fillId="2" borderId="12" xfId="0" applyFont="1" applyFill="1" applyBorder="1" applyAlignment="1">
      <alignment horizontal="center"/>
    </xf>
    <xf numFmtId="4" fontId="2" fillId="0" borderId="0" xfId="0" applyNumberFormat="1" applyFont="1" applyFill="1" applyAlignment="1">
      <alignment horizontal="center"/>
    </xf>
    <xf numFmtId="4" fontId="2" fillId="2"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3" xfId="0" applyFont="1" applyFill="1" applyBorder="1" applyAlignment="1">
      <alignment vertical="center" wrapText="1"/>
    </xf>
    <xf numFmtId="0" fontId="2" fillId="2" borderId="13" xfId="0" applyFont="1" applyFill="1" applyBorder="1" applyAlignment="1">
      <alignment horizont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6" fillId="0" borderId="0" xfId="0" applyNumberFormat="1" applyFont="1" applyFill="1" applyBorder="1" applyAlignment="1" applyProtection="1">
      <alignment horizontal="center" vertical="top" wrapText="1"/>
    </xf>
    <xf numFmtId="0" fontId="2" fillId="0" borderId="0" xfId="0" applyFont="1" applyAlignment="1">
      <alignment horizontal="right" vertical="center" wrapText="1"/>
    </xf>
    <xf numFmtId="164" fontId="4" fillId="2" borderId="1" xfId="0" applyNumberFormat="1" applyFont="1" applyFill="1" applyBorder="1" applyAlignment="1">
      <alignment horizontal="center" vertical="center"/>
    </xf>
    <xf numFmtId="0" fontId="2" fillId="0" borderId="0" xfId="0" applyFont="1" applyAlignment="1">
      <alignment horizontal="center" vertical="center" wrapText="1"/>
    </xf>
    <xf numFmtId="0" fontId="4" fillId="0" borderId="0" xfId="0" applyFont="1" applyFill="1" applyAlignment="1">
      <alignment horizontal="center" vertical="center" wrapText="1"/>
    </xf>
    <xf numFmtId="0" fontId="2" fillId="0" borderId="0" xfId="0" applyFont="1" applyFill="1" applyBorder="1" applyAlignment="1">
      <alignment horizontal="center"/>
    </xf>
    <xf numFmtId="0" fontId="3" fillId="0" borderId="0" xfId="0" applyFont="1" applyFill="1" applyAlignment="1">
      <alignment horizontal="center" vertical="center" wrapText="1"/>
    </xf>
    <xf numFmtId="167" fontId="33" fillId="0" borderId="0" xfId="0" applyNumberFormat="1" applyFont="1" applyFill="1" applyAlignment="1">
      <alignment horizontal="right"/>
    </xf>
    <xf numFmtId="0" fontId="33" fillId="0" borderId="0" xfId="0" applyFont="1" applyFill="1" applyAlignment="1">
      <alignment horizontal="right" wrapText="1"/>
    </xf>
    <xf numFmtId="167" fontId="2" fillId="0" borderId="1"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0" fontId="12" fillId="0" borderId="0" xfId="0" applyFont="1" applyFill="1" applyBorder="1" applyAlignment="1">
      <alignment horizontal="center" wrapText="1"/>
    </xf>
    <xf numFmtId="0" fontId="2" fillId="0" borderId="0" xfId="0" applyFont="1" applyFill="1" applyBorder="1" applyAlignment="1">
      <alignment vertical="center" wrapText="1"/>
    </xf>
    <xf numFmtId="0" fontId="2" fillId="0" borderId="7" xfId="0" applyNumberFormat="1" applyFont="1" applyFill="1" applyBorder="1" applyAlignment="1" applyProtection="1">
      <alignment horizontal="center" vertical="center" textRotation="90"/>
    </xf>
    <xf numFmtId="0" fontId="2" fillId="0" borderId="2" xfId="0" applyNumberFormat="1" applyFont="1" applyFill="1" applyBorder="1" applyAlignment="1" applyProtection="1">
      <alignment horizontal="center" vertical="center" textRotation="90"/>
    </xf>
    <xf numFmtId="0" fontId="1" fillId="2" borderId="0" xfId="0" applyFont="1" applyFill="1" applyAlignment="1">
      <alignment horizontal="center"/>
    </xf>
    <xf numFmtId="0" fontId="1" fillId="2" borderId="12" xfId="0" applyFont="1" applyFill="1" applyBorder="1" applyAlignment="1">
      <alignment horizontal="center"/>
    </xf>
    <xf numFmtId="0" fontId="21" fillId="0" borderId="4" xfId="0" applyNumberFormat="1" applyFont="1" applyFill="1" applyBorder="1" applyAlignment="1" applyProtection="1">
      <alignment horizontal="center" vertical="center"/>
    </xf>
    <xf numFmtId="0" fontId="21" fillId="0" borderId="5"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xf>
    <xf numFmtId="0" fontId="1" fillId="2" borderId="13" xfId="0" applyFont="1" applyFill="1" applyBorder="1" applyAlignment="1">
      <alignment horizontal="center"/>
    </xf>
    <xf numFmtId="0" fontId="4" fillId="0" borderId="4"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xf>
    <xf numFmtId="0" fontId="22" fillId="0" borderId="0" xfId="0" applyNumberFormat="1" applyFont="1" applyFill="1" applyBorder="1" applyAlignment="1" applyProtection="1">
      <alignment horizontal="center" vertical="distributed"/>
    </xf>
    <xf numFmtId="0" fontId="2" fillId="2" borderId="4" xfId="0" applyNumberFormat="1" applyFont="1" applyFill="1" applyBorder="1" applyAlignment="1" applyProtection="1">
      <alignment horizontal="center"/>
    </xf>
    <xf numFmtId="0" fontId="2" fillId="2" borderId="5" xfId="0" applyNumberFormat="1" applyFont="1" applyFill="1" applyBorder="1" applyAlignment="1" applyProtection="1">
      <alignment horizontal="center"/>
    </xf>
    <xf numFmtId="0" fontId="2" fillId="2" borderId="3" xfId="0" applyNumberFormat="1" applyFont="1" applyFill="1" applyBorder="1" applyAlignment="1" applyProtection="1">
      <alignment horizontal="center"/>
    </xf>
    <xf numFmtId="0" fontId="6" fillId="0" borderId="7" xfId="0" applyNumberFormat="1" applyFont="1" applyFill="1" applyBorder="1" applyAlignment="1" applyProtection="1">
      <alignment horizontal="center" vertical="center"/>
    </xf>
    <xf numFmtId="0" fontId="6" fillId="0" borderId="11" xfId="0" applyNumberFormat="1" applyFont="1" applyFill="1" applyBorder="1" applyAlignment="1" applyProtection="1">
      <alignment horizontal="center" vertical="center"/>
    </xf>
    <xf numFmtId="0" fontId="6" fillId="0" borderId="2" xfId="0" applyNumberFormat="1" applyFont="1" applyFill="1" applyBorder="1" applyAlignment="1" applyProtection="1">
      <alignment horizontal="center" vertical="center"/>
    </xf>
    <xf numFmtId="0" fontId="2" fillId="0" borderId="0" xfId="0" applyFont="1" applyFill="1" applyAlignment="1">
      <alignment horizontal="center" vertical="top" wrapText="1"/>
    </xf>
    <xf numFmtId="0"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top"/>
    </xf>
    <xf numFmtId="0" fontId="6" fillId="0" borderId="7" xfId="0" applyNumberFormat="1" applyFont="1" applyFill="1" applyBorder="1" applyAlignment="1" applyProtection="1">
      <alignment horizontal="center" vertical="center" textRotation="90"/>
    </xf>
    <xf numFmtId="0" fontId="6" fillId="0" borderId="11" xfId="0" applyNumberFormat="1" applyFont="1" applyFill="1" applyBorder="1" applyAlignment="1" applyProtection="1">
      <alignment horizontal="center" vertical="center" textRotation="90"/>
    </xf>
    <xf numFmtId="0" fontId="6" fillId="0" borderId="2" xfId="0" applyNumberFormat="1" applyFont="1" applyFill="1" applyBorder="1" applyAlignment="1" applyProtection="1">
      <alignment horizontal="center" vertical="center" textRotation="90"/>
    </xf>
  </cellXfs>
  <cellStyles count="5">
    <cellStyle name="Обычный" xfId="0" builtinId="0"/>
    <cellStyle name="Обычный 2" xfId="2"/>
    <cellStyle name="Финансовый" xfId="1" builtinId="3"/>
    <cellStyle name="Финансовый 2" xfId="3"/>
    <cellStyle name="Финансовый 3" xfId="4"/>
  </cellStyles>
  <dxfs count="0"/>
  <tableStyles count="0" defaultTableStyle="TableStyleMedium2" defaultPivotStyle="PivotStyleMedium9"/>
  <colors>
    <mruColors>
      <color rgb="FFFFCCCC"/>
      <color rgb="FF99FF66"/>
      <color rgb="FF9999FF"/>
      <color rgb="FF66FFCC"/>
      <color rgb="FFFF7C80"/>
      <color rgb="FFFF99CC"/>
      <color rgb="FFFF9966"/>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S318"/>
  <sheetViews>
    <sheetView view="pageBreakPreview" topLeftCell="A7" zoomScale="70" zoomScaleNormal="100" zoomScaleSheetLayoutView="70" workbookViewId="0">
      <selection activeCell="A211" sqref="A211"/>
    </sheetView>
  </sheetViews>
  <sheetFormatPr defaultColWidth="9.28515625" defaultRowHeight="15.75" x14ac:dyDescent="0.25"/>
  <cols>
    <col min="1" max="1" width="42.7109375" style="140" customWidth="1"/>
    <col min="2" max="2" width="5.7109375" style="140" customWidth="1"/>
    <col min="3" max="3" width="5.5703125" style="210" customWidth="1"/>
    <col min="4" max="4" width="7.140625" style="140" customWidth="1"/>
    <col min="5" max="5" width="16.7109375" style="140" customWidth="1"/>
    <col min="6" max="6" width="7" style="140" customWidth="1"/>
    <col min="7" max="7" width="16.28515625" style="173" customWidth="1"/>
    <col min="8" max="9" width="15.7109375" style="173" customWidth="1"/>
    <col min="10" max="10" width="0.140625" style="140" hidden="1" customWidth="1"/>
    <col min="11" max="11" width="8.85546875" style="140" hidden="1" customWidth="1"/>
    <col min="12" max="12" width="11.28515625" style="140" hidden="1" customWidth="1"/>
    <col min="13" max="13" width="9.28515625" style="140"/>
    <col min="14" max="14" width="13.85546875" style="140" bestFit="1" customWidth="1"/>
    <col min="15" max="16384" width="9.28515625" style="140"/>
  </cols>
  <sheetData>
    <row r="2" spans="1:10" s="284" customFormat="1" ht="14.65" customHeight="1" x14ac:dyDescent="0.2">
      <c r="B2" s="403" t="s">
        <v>211</v>
      </c>
      <c r="C2" s="403"/>
      <c r="D2" s="403"/>
      <c r="E2" s="403"/>
      <c r="F2" s="403"/>
      <c r="G2" s="403"/>
      <c r="H2" s="403"/>
      <c r="I2" s="403"/>
    </row>
    <row r="3" spans="1:10" s="284" customFormat="1" ht="19.899999999999999" customHeight="1" x14ac:dyDescent="0.2">
      <c r="B3" s="403" t="s">
        <v>55</v>
      </c>
      <c r="C3" s="403"/>
      <c r="D3" s="403"/>
      <c r="E3" s="403"/>
      <c r="F3" s="403"/>
      <c r="G3" s="403"/>
      <c r="H3" s="403"/>
      <c r="I3" s="403"/>
    </row>
    <row r="4" spans="1:10" s="284" customFormat="1" ht="50.45" customHeight="1" x14ac:dyDescent="0.2">
      <c r="B4" s="403" t="s">
        <v>261</v>
      </c>
      <c r="C4" s="403"/>
      <c r="D4" s="403"/>
      <c r="E4" s="403"/>
      <c r="F4" s="403"/>
      <c r="G4" s="403"/>
      <c r="H4" s="403"/>
      <c r="I4" s="403"/>
    </row>
    <row r="5" spans="1:10" s="284" customFormat="1" ht="21.6" customHeight="1" x14ac:dyDescent="0.2">
      <c r="B5" s="403" t="s">
        <v>303</v>
      </c>
      <c r="C5" s="403"/>
      <c r="D5" s="403"/>
      <c r="E5" s="403"/>
      <c r="F5" s="403"/>
      <c r="G5" s="403"/>
      <c r="H5" s="403"/>
      <c r="I5" s="403"/>
    </row>
    <row r="6" spans="1:10" x14ac:dyDescent="0.25">
      <c r="G6" s="282"/>
      <c r="H6" s="282"/>
      <c r="I6" s="282"/>
    </row>
    <row r="7" spans="1:10" ht="21.6" customHeight="1" x14ac:dyDescent="0.25">
      <c r="B7" s="182"/>
      <c r="C7" s="183"/>
      <c r="D7" s="182"/>
      <c r="E7" s="184"/>
      <c r="F7" s="244"/>
      <c r="G7" s="244"/>
      <c r="H7" s="244"/>
      <c r="I7" s="244"/>
    </row>
    <row r="8" spans="1:10" ht="14.65" customHeight="1" x14ac:dyDescent="0.25">
      <c r="B8" s="2"/>
      <c r="C8" s="3"/>
      <c r="D8" s="2"/>
      <c r="E8" s="2"/>
      <c r="F8" s="405" t="s">
        <v>211</v>
      </c>
      <c r="G8" s="405"/>
      <c r="H8" s="405"/>
      <c r="I8" s="405"/>
    </row>
    <row r="9" spans="1:10" ht="38.450000000000003" customHeight="1" x14ac:dyDescent="0.25">
      <c r="B9" s="2"/>
      <c r="C9" s="3"/>
      <c r="D9" s="2"/>
      <c r="E9" s="2"/>
      <c r="F9" s="405" t="s">
        <v>55</v>
      </c>
      <c r="G9" s="405"/>
      <c r="H9" s="405"/>
      <c r="I9" s="405"/>
    </row>
    <row r="10" spans="1:10" ht="51.6" customHeight="1" x14ac:dyDescent="0.25">
      <c r="B10" s="182"/>
      <c r="C10" s="183"/>
      <c r="D10" s="182"/>
      <c r="E10" s="184"/>
      <c r="F10" s="405" t="s">
        <v>251</v>
      </c>
      <c r="G10" s="405"/>
      <c r="H10" s="405"/>
      <c r="I10" s="405"/>
    </row>
    <row r="11" spans="1:10" ht="21.6" customHeight="1" x14ac:dyDescent="0.25">
      <c r="B11" s="182"/>
      <c r="C11" s="183"/>
      <c r="D11" s="182"/>
      <c r="E11" s="184"/>
      <c r="F11" s="405" t="s">
        <v>260</v>
      </c>
      <c r="G11" s="405"/>
      <c r="H11" s="405"/>
      <c r="I11" s="405"/>
    </row>
    <row r="12" spans="1:10" x14ac:dyDescent="0.25">
      <c r="B12" s="182"/>
      <c r="C12" s="183"/>
      <c r="D12" s="182"/>
      <c r="E12" s="184"/>
      <c r="F12" s="185"/>
      <c r="G12" s="393"/>
      <c r="H12" s="393"/>
      <c r="I12" s="393"/>
    </row>
    <row r="13" spans="1:10" ht="39" customHeight="1" x14ac:dyDescent="0.25">
      <c r="A13" s="406" t="s">
        <v>252</v>
      </c>
      <c r="B13" s="406"/>
      <c r="C13" s="406"/>
      <c r="D13" s="406"/>
      <c r="E13" s="406"/>
      <c r="F13" s="406"/>
      <c r="G13" s="406"/>
      <c r="H13" s="406"/>
      <c r="I13" s="406"/>
    </row>
    <row r="14" spans="1:10" ht="17.649999999999999" customHeight="1" x14ac:dyDescent="0.25">
      <c r="A14" s="395" t="s">
        <v>0</v>
      </c>
      <c r="B14" s="400" t="s">
        <v>1</v>
      </c>
      <c r="C14" s="401" t="s">
        <v>53</v>
      </c>
      <c r="D14" s="395" t="s">
        <v>54</v>
      </c>
      <c r="E14" s="395" t="s">
        <v>2</v>
      </c>
      <c r="F14" s="395" t="s">
        <v>50</v>
      </c>
      <c r="G14" s="394" t="s">
        <v>212</v>
      </c>
      <c r="H14" s="394"/>
      <c r="I14" s="394"/>
    </row>
    <row r="15" spans="1:10" ht="38.25" customHeight="1" x14ac:dyDescent="0.25">
      <c r="A15" s="395"/>
      <c r="B15" s="400"/>
      <c r="C15" s="401"/>
      <c r="D15" s="395"/>
      <c r="E15" s="395"/>
      <c r="F15" s="395"/>
      <c r="G15" s="186" t="s">
        <v>48</v>
      </c>
      <c r="H15" s="186" t="s">
        <v>213</v>
      </c>
      <c r="I15" s="186" t="s">
        <v>253</v>
      </c>
      <c r="J15" s="167"/>
    </row>
    <row r="16" spans="1:10" ht="42" customHeight="1" x14ac:dyDescent="0.25">
      <c r="A16" s="137" t="s">
        <v>56</v>
      </c>
      <c r="B16" s="118">
        <v>303</v>
      </c>
      <c r="C16" s="7"/>
      <c r="D16" s="187"/>
      <c r="E16" s="178"/>
      <c r="F16" s="142"/>
      <c r="G16" s="150">
        <f>G17+G73+G81+G94+G140+G238+G259+G271+G223+G244</f>
        <v>22137776.952250004</v>
      </c>
      <c r="H16" s="150">
        <f>H17+H73+H81+H94+H140+H238+H259+H271+H223+H244</f>
        <v>14493817.539999999</v>
      </c>
      <c r="I16" s="150">
        <f>I17+I73+I81+I94+I140+I238+I259+I271+I223+I244</f>
        <v>13844950</v>
      </c>
    </row>
    <row r="17" spans="1:13" ht="25.9" customHeight="1" x14ac:dyDescent="0.25">
      <c r="A17" s="137" t="s">
        <v>3</v>
      </c>
      <c r="B17" s="118">
        <v>303</v>
      </c>
      <c r="C17" s="6" t="s">
        <v>33</v>
      </c>
      <c r="D17" s="6" t="s">
        <v>35</v>
      </c>
      <c r="E17" s="188"/>
      <c r="F17" s="139"/>
      <c r="G17" s="135">
        <f>G18+G24+G46+G52+G57</f>
        <v>5541224.4400000004</v>
      </c>
      <c r="H17" s="135">
        <f>H18+H24+H46+H52+H57</f>
        <v>4030067.65</v>
      </c>
      <c r="I17" s="135">
        <f>I18+I24+I46+I52+I57</f>
        <v>4119572.1</v>
      </c>
      <c r="J17" s="167"/>
    </row>
    <row r="18" spans="1:13" ht="63" x14ac:dyDescent="0.25">
      <c r="A18" s="137" t="s">
        <v>27</v>
      </c>
      <c r="B18" s="118">
        <v>303</v>
      </c>
      <c r="C18" s="6" t="s">
        <v>33</v>
      </c>
      <c r="D18" s="6" t="s">
        <v>36</v>
      </c>
      <c r="E18" s="178"/>
      <c r="F18" s="141"/>
      <c r="G18" s="135">
        <f>G19</f>
        <v>1122670</v>
      </c>
      <c r="H18" s="135">
        <f t="shared" ref="H18:I18" si="0">H19</f>
        <v>1121900</v>
      </c>
      <c r="I18" s="135">
        <f t="shared" si="0"/>
        <v>1133119</v>
      </c>
      <c r="J18" s="167"/>
    </row>
    <row r="19" spans="1:13" s="175" customFormat="1" ht="79.150000000000006" customHeight="1" x14ac:dyDescent="0.25">
      <c r="A19" s="137" t="s">
        <v>82</v>
      </c>
      <c r="B19" s="118">
        <v>303</v>
      </c>
      <c r="C19" s="6" t="s">
        <v>33</v>
      </c>
      <c r="D19" s="6" t="s">
        <v>36</v>
      </c>
      <c r="E19" s="188" t="s">
        <v>57</v>
      </c>
      <c r="F19" s="139"/>
      <c r="G19" s="135">
        <f>G20</f>
        <v>1122670</v>
      </c>
      <c r="H19" s="135">
        <f t="shared" ref="H19:I22" si="1">H20</f>
        <v>1121900</v>
      </c>
      <c r="I19" s="135">
        <f t="shared" si="1"/>
        <v>1133119</v>
      </c>
      <c r="J19" s="189"/>
    </row>
    <row r="20" spans="1:13" s="175" customFormat="1" ht="31.9" customHeight="1" x14ac:dyDescent="0.25">
      <c r="A20" s="190" t="s">
        <v>84</v>
      </c>
      <c r="B20" s="118">
        <v>303</v>
      </c>
      <c r="C20" s="6" t="s">
        <v>33</v>
      </c>
      <c r="D20" s="6" t="s">
        <v>36</v>
      </c>
      <c r="E20" s="188" t="s">
        <v>58</v>
      </c>
      <c r="F20" s="139"/>
      <c r="G20" s="135">
        <f>G21</f>
        <v>1122670</v>
      </c>
      <c r="H20" s="135">
        <f t="shared" si="1"/>
        <v>1121900</v>
      </c>
      <c r="I20" s="135">
        <f t="shared" si="1"/>
        <v>1133119</v>
      </c>
      <c r="J20" s="189"/>
    </row>
    <row r="21" spans="1:13" ht="44.45" customHeight="1" x14ac:dyDescent="0.25">
      <c r="A21" s="177" t="s">
        <v>49</v>
      </c>
      <c r="B21" s="143">
        <v>303</v>
      </c>
      <c r="C21" s="7" t="s">
        <v>33</v>
      </c>
      <c r="D21" s="7" t="s">
        <v>36</v>
      </c>
      <c r="E21" s="178" t="s">
        <v>59</v>
      </c>
      <c r="F21" s="141"/>
      <c r="G21" s="136">
        <f>G22</f>
        <v>1122670</v>
      </c>
      <c r="H21" s="136">
        <f t="shared" si="1"/>
        <v>1121900</v>
      </c>
      <c r="I21" s="136">
        <f t="shared" si="1"/>
        <v>1133119</v>
      </c>
      <c r="J21" s="167"/>
    </row>
    <row r="22" spans="1:13" ht="97.15" customHeight="1" x14ac:dyDescent="0.25">
      <c r="A22" s="177" t="s">
        <v>12</v>
      </c>
      <c r="B22" s="143">
        <v>303</v>
      </c>
      <c r="C22" s="7" t="s">
        <v>33</v>
      </c>
      <c r="D22" s="7" t="s">
        <v>36</v>
      </c>
      <c r="E22" s="178" t="s">
        <v>59</v>
      </c>
      <c r="F22" s="142">
        <v>100</v>
      </c>
      <c r="G22" s="133">
        <f>G23</f>
        <v>1122670</v>
      </c>
      <c r="H22" s="133">
        <f t="shared" si="1"/>
        <v>1121900</v>
      </c>
      <c r="I22" s="133">
        <f t="shared" si="1"/>
        <v>1133119</v>
      </c>
    </row>
    <row r="23" spans="1:13" ht="35.450000000000003" customHeight="1" x14ac:dyDescent="0.25">
      <c r="A23" s="177" t="s">
        <v>13</v>
      </c>
      <c r="B23" s="143">
        <v>303</v>
      </c>
      <c r="C23" s="7" t="s">
        <v>33</v>
      </c>
      <c r="D23" s="7" t="s">
        <v>36</v>
      </c>
      <c r="E23" s="178" t="s">
        <v>59</v>
      </c>
      <c r="F23" s="142">
        <v>120</v>
      </c>
      <c r="G23" s="133">
        <f>1110790+11880</f>
        <v>1122670</v>
      </c>
      <c r="H23" s="133">
        <f>1121900</f>
        <v>1121900</v>
      </c>
      <c r="I23" s="133">
        <f>1133119</f>
        <v>1133119</v>
      </c>
      <c r="K23" s="84">
        <v>0.85</v>
      </c>
    </row>
    <row r="24" spans="1:13" ht="94.5" x14ac:dyDescent="0.25">
      <c r="A24" s="137" t="s">
        <v>4</v>
      </c>
      <c r="B24" s="118">
        <v>303</v>
      </c>
      <c r="C24" s="6" t="s">
        <v>33</v>
      </c>
      <c r="D24" s="6" t="s">
        <v>38</v>
      </c>
      <c r="E24" s="178"/>
      <c r="F24" s="141"/>
      <c r="G24" s="135">
        <f>G25+G42</f>
        <v>3846799.8200000003</v>
      </c>
      <c r="H24" s="135">
        <f>H25+H42</f>
        <v>2715876.65</v>
      </c>
      <c r="I24" s="135">
        <f t="shared" ref="I24" si="2">I25+I42</f>
        <v>2818753.1</v>
      </c>
    </row>
    <row r="25" spans="1:13" ht="78.75" x14ac:dyDescent="0.25">
      <c r="A25" s="137" t="s">
        <v>82</v>
      </c>
      <c r="B25" s="118">
        <v>303</v>
      </c>
      <c r="C25" s="6" t="s">
        <v>33</v>
      </c>
      <c r="D25" s="6" t="s">
        <v>38</v>
      </c>
      <c r="E25" s="188" t="s">
        <v>57</v>
      </c>
      <c r="F25" s="139"/>
      <c r="G25" s="135">
        <f>G26</f>
        <v>3759299.8200000003</v>
      </c>
      <c r="H25" s="135">
        <f t="shared" ref="H25:I25" si="3">H26</f>
        <v>2628376.65</v>
      </c>
      <c r="I25" s="135">
        <f t="shared" si="3"/>
        <v>2731253.1</v>
      </c>
    </row>
    <row r="26" spans="1:13" ht="24" customHeight="1" x14ac:dyDescent="0.25">
      <c r="A26" s="190" t="s">
        <v>89</v>
      </c>
      <c r="B26" s="118">
        <v>303</v>
      </c>
      <c r="C26" s="6" t="s">
        <v>33</v>
      </c>
      <c r="D26" s="6" t="s">
        <v>38</v>
      </c>
      <c r="E26" s="188" t="s">
        <v>153</v>
      </c>
      <c r="F26" s="191"/>
      <c r="G26" s="150">
        <f>G27+G37+G34</f>
        <v>3759299.8200000003</v>
      </c>
      <c r="H26" s="150">
        <f t="shared" ref="H26:I26" si="4">H27+H37</f>
        <v>2628376.65</v>
      </c>
      <c r="I26" s="150">
        <f t="shared" si="4"/>
        <v>2731253.1</v>
      </c>
      <c r="J26" s="175"/>
    </row>
    <row r="27" spans="1:13" ht="45.6" customHeight="1" x14ac:dyDescent="0.25">
      <c r="A27" s="177" t="s">
        <v>49</v>
      </c>
      <c r="B27" s="143">
        <v>303</v>
      </c>
      <c r="C27" s="7" t="s">
        <v>33</v>
      </c>
      <c r="D27" s="7" t="s">
        <v>38</v>
      </c>
      <c r="E27" s="178" t="s">
        <v>154</v>
      </c>
      <c r="F27" s="142"/>
      <c r="G27" s="133">
        <f>G28+G30+G32</f>
        <v>3421240.6</v>
      </c>
      <c r="H27" s="340">
        <f t="shared" ref="H27:I27" si="5">H28+H30+H32</f>
        <v>2298276.65</v>
      </c>
      <c r="I27" s="340">
        <f t="shared" si="5"/>
        <v>2401153.1</v>
      </c>
    </row>
    <row r="28" spans="1:13" ht="94.5" x14ac:dyDescent="0.25">
      <c r="A28" s="177" t="s">
        <v>12</v>
      </c>
      <c r="B28" s="143">
        <v>303</v>
      </c>
      <c r="C28" s="7" t="s">
        <v>33</v>
      </c>
      <c r="D28" s="7" t="s">
        <v>38</v>
      </c>
      <c r="E28" s="178" t="s">
        <v>154</v>
      </c>
      <c r="F28" s="142">
        <v>100</v>
      </c>
      <c r="G28" s="133">
        <f>G29</f>
        <v>3081800.6</v>
      </c>
      <c r="H28" s="133">
        <f t="shared" ref="H28:I28" si="6">H29</f>
        <v>2258076.65</v>
      </c>
      <c r="I28" s="133">
        <f t="shared" si="6"/>
        <v>2370953.1</v>
      </c>
      <c r="M28" s="243">
        <v>0.83</v>
      </c>
    </row>
    <row r="29" spans="1:13" ht="42.6" customHeight="1" x14ac:dyDescent="0.25">
      <c r="A29" s="177" t="s">
        <v>13</v>
      </c>
      <c r="B29" s="143">
        <v>303</v>
      </c>
      <c r="C29" s="7" t="s">
        <v>33</v>
      </c>
      <c r="D29" s="7" t="s">
        <v>38</v>
      </c>
      <c r="E29" s="178" t="s">
        <v>154</v>
      </c>
      <c r="F29" s="142">
        <v>120</v>
      </c>
      <c r="G29" s="133">
        <f>2405894.64+54945.96+50000+435000-56000+191960</f>
        <v>3081800.6</v>
      </c>
      <c r="H29" s="133">
        <f>2347477.65-24591-64810</f>
        <v>2258076.65</v>
      </c>
      <c r="I29" s="133">
        <f>2370953.1</f>
        <v>2370953.1</v>
      </c>
      <c r="K29" s="83" t="s">
        <v>186</v>
      </c>
    </row>
    <row r="30" spans="1:13" ht="46.9" customHeight="1" x14ac:dyDescent="0.25">
      <c r="A30" s="177" t="s">
        <v>29</v>
      </c>
      <c r="B30" s="143">
        <v>303</v>
      </c>
      <c r="C30" s="7" t="s">
        <v>33</v>
      </c>
      <c r="D30" s="7" t="s">
        <v>38</v>
      </c>
      <c r="E30" s="178" t="s">
        <v>154</v>
      </c>
      <c r="F30" s="142">
        <v>200</v>
      </c>
      <c r="G30" s="133">
        <f>G31</f>
        <v>339240</v>
      </c>
      <c r="H30" s="133">
        <f t="shared" ref="H30:I30" si="7">H31</f>
        <v>40000</v>
      </c>
      <c r="I30" s="133">
        <f t="shared" si="7"/>
        <v>30000</v>
      </c>
    </row>
    <row r="31" spans="1:13" ht="55.15" customHeight="1" x14ac:dyDescent="0.25">
      <c r="A31" s="177" t="s">
        <v>28</v>
      </c>
      <c r="B31" s="143">
        <v>303</v>
      </c>
      <c r="C31" s="7" t="s">
        <v>33</v>
      </c>
      <c r="D31" s="7" t="s">
        <v>38</v>
      </c>
      <c r="E31" s="178" t="s">
        <v>154</v>
      </c>
      <c r="F31" s="142">
        <v>240</v>
      </c>
      <c r="G31" s="133">
        <f>50000+100000+56000+40000+93240</f>
        <v>339240</v>
      </c>
      <c r="H31" s="133">
        <f>40000</f>
        <v>40000</v>
      </c>
      <c r="I31" s="133">
        <f>30000</f>
        <v>30000</v>
      </c>
    </row>
    <row r="32" spans="1:13" x14ac:dyDescent="0.25">
      <c r="A32" s="177" t="s">
        <v>14</v>
      </c>
      <c r="B32" s="143">
        <v>303</v>
      </c>
      <c r="C32" s="7" t="s">
        <v>33</v>
      </c>
      <c r="D32" s="7" t="s">
        <v>38</v>
      </c>
      <c r="E32" s="178" t="s">
        <v>154</v>
      </c>
      <c r="F32" s="142">
        <v>800</v>
      </c>
      <c r="G32" s="133">
        <f>G33</f>
        <v>200</v>
      </c>
      <c r="H32" s="133">
        <f t="shared" ref="H32:I32" si="8">H33</f>
        <v>200</v>
      </c>
      <c r="I32" s="133">
        <f t="shared" si="8"/>
        <v>200</v>
      </c>
    </row>
    <row r="33" spans="1:13" x14ac:dyDescent="0.25">
      <c r="A33" s="177" t="s">
        <v>15</v>
      </c>
      <c r="B33" s="143">
        <v>303</v>
      </c>
      <c r="C33" s="7" t="s">
        <v>33</v>
      </c>
      <c r="D33" s="7" t="s">
        <v>38</v>
      </c>
      <c r="E33" s="178" t="s">
        <v>154</v>
      </c>
      <c r="F33" s="142">
        <v>850</v>
      </c>
      <c r="G33" s="133">
        <v>200</v>
      </c>
      <c r="H33" s="133">
        <v>200</v>
      </c>
      <c r="I33" s="133">
        <v>200</v>
      </c>
    </row>
    <row r="34" spans="1:13" ht="101.45" customHeight="1" x14ac:dyDescent="0.25">
      <c r="A34" s="177" t="s">
        <v>305</v>
      </c>
      <c r="B34" s="325">
        <v>303</v>
      </c>
      <c r="C34" s="317" t="s">
        <v>33</v>
      </c>
      <c r="D34" s="317" t="s">
        <v>38</v>
      </c>
      <c r="E34" s="178" t="s">
        <v>304</v>
      </c>
      <c r="F34" s="142"/>
      <c r="G34" s="340">
        <f>G35</f>
        <v>7959.22</v>
      </c>
      <c r="H34" s="340">
        <f t="shared" ref="H34:I35" si="9">H35</f>
        <v>0</v>
      </c>
      <c r="I34" s="340">
        <f t="shared" si="9"/>
        <v>0</v>
      </c>
    </row>
    <row r="35" spans="1:13" ht="94.5" x14ac:dyDescent="0.25">
      <c r="A35" s="177" t="s">
        <v>12</v>
      </c>
      <c r="B35" s="325">
        <v>303</v>
      </c>
      <c r="C35" s="317" t="s">
        <v>33</v>
      </c>
      <c r="D35" s="317" t="s">
        <v>38</v>
      </c>
      <c r="E35" s="178" t="s">
        <v>304</v>
      </c>
      <c r="F35" s="142">
        <v>100</v>
      </c>
      <c r="G35" s="340">
        <f>G36</f>
        <v>7959.22</v>
      </c>
      <c r="H35" s="340">
        <f t="shared" si="9"/>
        <v>0</v>
      </c>
      <c r="I35" s="340">
        <f t="shared" si="9"/>
        <v>0</v>
      </c>
      <c r="M35" s="243">
        <v>0.83</v>
      </c>
    </row>
    <row r="36" spans="1:13" ht="42.6" customHeight="1" x14ac:dyDescent="0.25">
      <c r="A36" s="177" t="s">
        <v>13</v>
      </c>
      <c r="B36" s="325">
        <v>303</v>
      </c>
      <c r="C36" s="317" t="s">
        <v>33</v>
      </c>
      <c r="D36" s="317" t="s">
        <v>38</v>
      </c>
      <c r="E36" s="178" t="s">
        <v>304</v>
      </c>
      <c r="F36" s="142">
        <v>120</v>
      </c>
      <c r="G36" s="340">
        <f>7959.22</f>
        <v>7959.22</v>
      </c>
      <c r="H36" s="340">
        <v>0</v>
      </c>
      <c r="I36" s="340">
        <v>0</v>
      </c>
      <c r="K36" s="83" t="s">
        <v>186</v>
      </c>
    </row>
    <row r="37" spans="1:13" ht="94.5" x14ac:dyDescent="0.25">
      <c r="A37" s="124" t="s">
        <v>88</v>
      </c>
      <c r="B37" s="113">
        <v>303</v>
      </c>
      <c r="C37" s="125" t="s">
        <v>33</v>
      </c>
      <c r="D37" s="125" t="s">
        <v>38</v>
      </c>
      <c r="E37" s="113" t="s">
        <v>92</v>
      </c>
      <c r="F37" s="113"/>
      <c r="G37" s="166">
        <f>G38+G40</f>
        <v>330100</v>
      </c>
      <c r="H37" s="166">
        <f t="shared" ref="H37:I37" si="10">H38+H40</f>
        <v>330100</v>
      </c>
      <c r="I37" s="166">
        <f t="shared" si="10"/>
        <v>330100</v>
      </c>
    </row>
    <row r="38" spans="1:13" ht="94.5" x14ac:dyDescent="0.25">
      <c r="A38" s="126" t="s">
        <v>87</v>
      </c>
      <c r="B38" s="114">
        <v>303</v>
      </c>
      <c r="C38" s="127" t="s">
        <v>33</v>
      </c>
      <c r="D38" s="127" t="s">
        <v>38</v>
      </c>
      <c r="E38" s="114" t="s">
        <v>92</v>
      </c>
      <c r="F38" s="114">
        <v>100</v>
      </c>
      <c r="G38" s="170">
        <f>G39</f>
        <v>315032.76</v>
      </c>
      <c r="H38" s="170">
        <f t="shared" ref="H38:I38" si="11">H39</f>
        <v>311400</v>
      </c>
      <c r="I38" s="170">
        <f t="shared" si="11"/>
        <v>311400</v>
      </c>
      <c r="M38" s="243">
        <v>0.17</v>
      </c>
    </row>
    <row r="39" spans="1:13" ht="47.25" x14ac:dyDescent="0.25">
      <c r="A39" s="126" t="s">
        <v>13</v>
      </c>
      <c r="B39" s="114">
        <v>303</v>
      </c>
      <c r="C39" s="127" t="s">
        <v>33</v>
      </c>
      <c r="D39" s="127" t="s">
        <v>38</v>
      </c>
      <c r="E39" s="114" t="s">
        <v>92</v>
      </c>
      <c r="F39" s="114">
        <v>120</v>
      </c>
      <c r="G39" s="170">
        <f>311400+3632.76</f>
        <v>315032.76</v>
      </c>
      <c r="H39" s="170">
        <f t="shared" ref="H39:I39" si="12">311400</f>
        <v>311400</v>
      </c>
      <c r="I39" s="170">
        <f t="shared" si="12"/>
        <v>311400</v>
      </c>
      <c r="K39" s="83" t="s">
        <v>184</v>
      </c>
    </row>
    <row r="40" spans="1:13" x14ac:dyDescent="0.25">
      <c r="A40" s="128" t="s">
        <v>65</v>
      </c>
      <c r="B40" s="114">
        <v>303</v>
      </c>
      <c r="C40" s="127" t="s">
        <v>33</v>
      </c>
      <c r="D40" s="127" t="s">
        <v>38</v>
      </c>
      <c r="E40" s="114" t="s">
        <v>92</v>
      </c>
      <c r="F40" s="114">
        <v>200</v>
      </c>
      <c r="G40" s="170">
        <f>G41</f>
        <v>15067.24</v>
      </c>
      <c r="H40" s="170">
        <f t="shared" ref="H40:I40" si="13">H41</f>
        <v>18700</v>
      </c>
      <c r="I40" s="170">
        <f t="shared" si="13"/>
        <v>18700</v>
      </c>
    </row>
    <row r="41" spans="1:13" ht="47.25" x14ac:dyDescent="0.25">
      <c r="A41" s="126" t="s">
        <v>28</v>
      </c>
      <c r="B41" s="114">
        <v>303</v>
      </c>
      <c r="C41" s="127" t="s">
        <v>33</v>
      </c>
      <c r="D41" s="127" t="s">
        <v>38</v>
      </c>
      <c r="E41" s="114" t="s">
        <v>92</v>
      </c>
      <c r="F41" s="114">
        <v>240</v>
      </c>
      <c r="G41" s="170">
        <f>18700-3632.76</f>
        <v>15067.24</v>
      </c>
      <c r="H41" s="170">
        <f>18700</f>
        <v>18700</v>
      </c>
      <c r="I41" s="170">
        <f>18700</f>
        <v>18700</v>
      </c>
    </row>
    <row r="42" spans="1:13" ht="35.450000000000003" customHeight="1" x14ac:dyDescent="0.25">
      <c r="A42" s="77" t="s">
        <v>96</v>
      </c>
      <c r="B42" s="105">
        <v>303</v>
      </c>
      <c r="C42" s="6" t="s">
        <v>33</v>
      </c>
      <c r="D42" s="6" t="s">
        <v>38</v>
      </c>
      <c r="E42" s="105" t="s">
        <v>97</v>
      </c>
      <c r="F42" s="105"/>
      <c r="G42" s="135">
        <f t="shared" ref="G42:H44" si="14">G43</f>
        <v>87500</v>
      </c>
      <c r="H42" s="135">
        <f t="shared" si="14"/>
        <v>87500</v>
      </c>
      <c r="I42" s="135">
        <f t="shared" ref="I42" si="15">I43</f>
        <v>87500</v>
      </c>
    </row>
    <row r="43" spans="1:13" ht="52.15" customHeight="1" x14ac:dyDescent="0.25">
      <c r="A43" s="76" t="s">
        <v>21</v>
      </c>
      <c r="B43" s="105">
        <v>303</v>
      </c>
      <c r="C43" s="6" t="s">
        <v>33</v>
      </c>
      <c r="D43" s="6" t="s">
        <v>38</v>
      </c>
      <c r="E43" s="105" t="s">
        <v>151</v>
      </c>
      <c r="F43" s="105"/>
      <c r="G43" s="135">
        <f t="shared" si="14"/>
        <v>87500</v>
      </c>
      <c r="H43" s="135">
        <f t="shared" si="14"/>
        <v>87500</v>
      </c>
      <c r="I43" s="135">
        <f>I44</f>
        <v>87500</v>
      </c>
    </row>
    <row r="44" spans="1:13" ht="42" customHeight="1" x14ac:dyDescent="0.25">
      <c r="A44" s="74" t="s">
        <v>65</v>
      </c>
      <c r="B44" s="106">
        <v>303</v>
      </c>
      <c r="C44" s="7" t="s">
        <v>33</v>
      </c>
      <c r="D44" s="7" t="s">
        <v>38</v>
      </c>
      <c r="E44" s="106" t="s">
        <v>151</v>
      </c>
      <c r="F44" s="106">
        <v>200</v>
      </c>
      <c r="G44" s="136">
        <f t="shared" si="14"/>
        <v>87500</v>
      </c>
      <c r="H44" s="136">
        <f t="shared" si="14"/>
        <v>87500</v>
      </c>
      <c r="I44" s="136">
        <f>I45</f>
        <v>87500</v>
      </c>
    </row>
    <row r="45" spans="1:13" ht="55.15" customHeight="1" x14ac:dyDescent="0.25">
      <c r="A45" s="74" t="s">
        <v>28</v>
      </c>
      <c r="B45" s="106">
        <v>303</v>
      </c>
      <c r="C45" s="7" t="s">
        <v>33</v>
      </c>
      <c r="D45" s="7" t="s">
        <v>38</v>
      </c>
      <c r="E45" s="106" t="s">
        <v>151</v>
      </c>
      <c r="F45" s="106">
        <v>240</v>
      </c>
      <c r="G45" s="136">
        <f>87500</f>
        <v>87500</v>
      </c>
      <c r="H45" s="136">
        <f t="shared" ref="H45:I45" si="16">87500</f>
        <v>87500</v>
      </c>
      <c r="I45" s="136">
        <f t="shared" si="16"/>
        <v>87500</v>
      </c>
    </row>
    <row r="46" spans="1:13" ht="68.45" customHeight="1" x14ac:dyDescent="0.25">
      <c r="A46" s="190" t="s">
        <v>22</v>
      </c>
      <c r="B46" s="118">
        <v>303</v>
      </c>
      <c r="C46" s="6" t="s">
        <v>33</v>
      </c>
      <c r="D46" s="6" t="s">
        <v>39</v>
      </c>
      <c r="E46" s="188"/>
      <c r="F46" s="139"/>
      <c r="G46" s="135">
        <f t="shared" ref="G46:I50" si="17">G47</f>
        <v>54700</v>
      </c>
      <c r="H46" s="135">
        <f t="shared" si="17"/>
        <v>54700</v>
      </c>
      <c r="I46" s="135">
        <f t="shared" si="17"/>
        <v>54700</v>
      </c>
    </row>
    <row r="47" spans="1:13" ht="31.5" x14ac:dyDescent="0.25">
      <c r="A47" s="77" t="s">
        <v>96</v>
      </c>
      <c r="B47" s="105">
        <v>303</v>
      </c>
      <c r="C47" s="6" t="s">
        <v>33</v>
      </c>
      <c r="D47" s="6" t="s">
        <v>39</v>
      </c>
      <c r="E47" s="105" t="s">
        <v>97</v>
      </c>
      <c r="F47" s="139"/>
      <c r="G47" s="135">
        <f t="shared" si="17"/>
        <v>54700</v>
      </c>
      <c r="H47" s="135">
        <f t="shared" si="17"/>
        <v>54700</v>
      </c>
      <c r="I47" s="135">
        <f t="shared" si="17"/>
        <v>54700</v>
      </c>
    </row>
    <row r="48" spans="1:13" ht="91.9" customHeight="1" x14ac:dyDescent="0.25">
      <c r="A48" s="78" t="s">
        <v>98</v>
      </c>
      <c r="B48" s="143">
        <v>303</v>
      </c>
      <c r="C48" s="7" t="s">
        <v>33</v>
      </c>
      <c r="D48" s="7" t="s">
        <v>39</v>
      </c>
      <c r="E48" s="106" t="s">
        <v>99</v>
      </c>
      <c r="F48" s="141"/>
      <c r="G48" s="136">
        <f t="shared" si="17"/>
        <v>54700</v>
      </c>
      <c r="H48" s="136">
        <f t="shared" si="17"/>
        <v>54700</v>
      </c>
      <c r="I48" s="136">
        <f t="shared" si="17"/>
        <v>54700</v>
      </c>
    </row>
    <row r="49" spans="1:9" ht="99.6" customHeight="1" x14ac:dyDescent="0.25">
      <c r="A49" s="79" t="s">
        <v>155</v>
      </c>
      <c r="B49" s="143">
        <v>303</v>
      </c>
      <c r="C49" s="7" t="s">
        <v>33</v>
      </c>
      <c r="D49" s="7" t="s">
        <v>39</v>
      </c>
      <c r="E49" s="106" t="s">
        <v>101</v>
      </c>
      <c r="F49" s="141"/>
      <c r="G49" s="136">
        <f t="shared" si="17"/>
        <v>54700</v>
      </c>
      <c r="H49" s="136">
        <f t="shared" si="17"/>
        <v>54700</v>
      </c>
      <c r="I49" s="136">
        <f t="shared" si="17"/>
        <v>54700</v>
      </c>
    </row>
    <row r="50" spans="1:9" ht="23.45" customHeight="1" x14ac:dyDescent="0.25">
      <c r="A50" s="75" t="s">
        <v>7</v>
      </c>
      <c r="B50" s="143">
        <v>303</v>
      </c>
      <c r="C50" s="7" t="s">
        <v>33</v>
      </c>
      <c r="D50" s="7" t="s">
        <v>39</v>
      </c>
      <c r="E50" s="106" t="s">
        <v>101</v>
      </c>
      <c r="F50" s="141">
        <v>500</v>
      </c>
      <c r="G50" s="136">
        <f t="shared" si="17"/>
        <v>54700</v>
      </c>
      <c r="H50" s="136">
        <f t="shared" si="17"/>
        <v>54700</v>
      </c>
      <c r="I50" s="136">
        <f t="shared" si="17"/>
        <v>54700</v>
      </c>
    </row>
    <row r="51" spans="1:9" ht="24.6" customHeight="1" x14ac:dyDescent="0.25">
      <c r="A51" s="75" t="s">
        <v>17</v>
      </c>
      <c r="B51" s="143">
        <v>303</v>
      </c>
      <c r="C51" s="7" t="s">
        <v>33</v>
      </c>
      <c r="D51" s="7" t="s">
        <v>39</v>
      </c>
      <c r="E51" s="106" t="s">
        <v>101</v>
      </c>
      <c r="F51" s="141">
        <v>540</v>
      </c>
      <c r="G51" s="136">
        <f>54700</f>
        <v>54700</v>
      </c>
      <c r="H51" s="136">
        <f>54700</f>
        <v>54700</v>
      </c>
      <c r="I51" s="136">
        <f>54700</f>
        <v>54700</v>
      </c>
    </row>
    <row r="52" spans="1:9" ht="24" customHeight="1" x14ac:dyDescent="0.25">
      <c r="A52" s="137" t="s">
        <v>23</v>
      </c>
      <c r="B52" s="118">
        <v>303</v>
      </c>
      <c r="C52" s="6" t="s">
        <v>33</v>
      </c>
      <c r="D52" s="6" t="s">
        <v>40</v>
      </c>
      <c r="E52" s="188"/>
      <c r="F52" s="139"/>
      <c r="G52" s="135">
        <f>G53</f>
        <v>18000</v>
      </c>
      <c r="H52" s="135">
        <f t="shared" ref="H52:I55" si="18">H53</f>
        <v>18000</v>
      </c>
      <c r="I52" s="135">
        <f t="shared" si="18"/>
        <v>18000</v>
      </c>
    </row>
    <row r="53" spans="1:9" ht="47.25" x14ac:dyDescent="0.25">
      <c r="A53" s="76" t="s">
        <v>93</v>
      </c>
      <c r="B53" s="143">
        <v>303</v>
      </c>
      <c r="C53" s="6" t="s">
        <v>33</v>
      </c>
      <c r="D53" s="6" t="s">
        <v>40</v>
      </c>
      <c r="E53" s="105" t="s">
        <v>94</v>
      </c>
      <c r="F53" s="139"/>
      <c r="G53" s="135">
        <f>G54</f>
        <v>18000</v>
      </c>
      <c r="H53" s="135">
        <f t="shared" si="18"/>
        <v>18000</v>
      </c>
      <c r="I53" s="135">
        <f t="shared" si="18"/>
        <v>18000</v>
      </c>
    </row>
    <row r="54" spans="1:9" ht="53.45" customHeight="1" x14ac:dyDescent="0.25">
      <c r="A54" s="74" t="s">
        <v>93</v>
      </c>
      <c r="B54" s="143">
        <v>303</v>
      </c>
      <c r="C54" s="7" t="s">
        <v>33</v>
      </c>
      <c r="D54" s="7" t="s">
        <v>40</v>
      </c>
      <c r="E54" s="106" t="s">
        <v>95</v>
      </c>
      <c r="F54" s="141"/>
      <c r="G54" s="136">
        <f>G55</f>
        <v>18000</v>
      </c>
      <c r="H54" s="136">
        <f t="shared" si="18"/>
        <v>18000</v>
      </c>
      <c r="I54" s="136">
        <f t="shared" si="18"/>
        <v>18000</v>
      </c>
    </row>
    <row r="55" spans="1:9" ht="25.9" customHeight="1" x14ac:dyDescent="0.25">
      <c r="A55" s="177" t="s">
        <v>14</v>
      </c>
      <c r="B55" s="143">
        <v>303</v>
      </c>
      <c r="C55" s="7" t="s">
        <v>33</v>
      </c>
      <c r="D55" s="7" t="s">
        <v>40</v>
      </c>
      <c r="E55" s="106" t="s">
        <v>95</v>
      </c>
      <c r="F55" s="141">
        <v>800</v>
      </c>
      <c r="G55" s="136">
        <f>G56</f>
        <v>18000</v>
      </c>
      <c r="H55" s="136">
        <f t="shared" si="18"/>
        <v>18000</v>
      </c>
      <c r="I55" s="136">
        <f t="shared" si="18"/>
        <v>18000</v>
      </c>
    </row>
    <row r="56" spans="1:9" ht="17.45" customHeight="1" x14ac:dyDescent="0.25">
      <c r="A56" s="177" t="s">
        <v>24</v>
      </c>
      <c r="B56" s="143">
        <v>303</v>
      </c>
      <c r="C56" s="7" t="s">
        <v>33</v>
      </c>
      <c r="D56" s="7" t="s">
        <v>40</v>
      </c>
      <c r="E56" s="106" t="s">
        <v>95</v>
      </c>
      <c r="F56" s="141">
        <v>870</v>
      </c>
      <c r="G56" s="136">
        <v>18000</v>
      </c>
      <c r="H56" s="136">
        <v>18000</v>
      </c>
      <c r="I56" s="136">
        <v>18000</v>
      </c>
    </row>
    <row r="57" spans="1:9" ht="19.149999999999999" customHeight="1" x14ac:dyDescent="0.25">
      <c r="A57" s="137" t="s">
        <v>5</v>
      </c>
      <c r="B57" s="118">
        <v>303</v>
      </c>
      <c r="C57" s="6" t="s">
        <v>33</v>
      </c>
      <c r="D57" s="6" t="s">
        <v>41</v>
      </c>
      <c r="E57" s="188"/>
      <c r="F57" s="139"/>
      <c r="G57" s="135">
        <f>G58</f>
        <v>499054.62</v>
      </c>
      <c r="H57" s="135">
        <f t="shared" ref="H57:I71" si="19">H58</f>
        <v>119591</v>
      </c>
      <c r="I57" s="135">
        <f t="shared" si="19"/>
        <v>95000</v>
      </c>
    </row>
    <row r="58" spans="1:9" ht="35.450000000000003" customHeight="1" x14ac:dyDescent="0.25">
      <c r="A58" s="77" t="s">
        <v>103</v>
      </c>
      <c r="B58" s="143">
        <v>300</v>
      </c>
      <c r="C58" s="6" t="s">
        <v>33</v>
      </c>
      <c r="D58" s="6" t="s">
        <v>41</v>
      </c>
      <c r="E58" s="105" t="s">
        <v>104</v>
      </c>
      <c r="F58" s="139"/>
      <c r="G58" s="135">
        <f>G59+G70+G62+G65</f>
        <v>499054.62</v>
      </c>
      <c r="H58" s="135">
        <f t="shared" ref="H58:I58" si="20">H59+H70</f>
        <v>119591</v>
      </c>
      <c r="I58" s="135">
        <f t="shared" si="20"/>
        <v>95000</v>
      </c>
    </row>
    <row r="59" spans="1:9" ht="32.450000000000003" customHeight="1" x14ac:dyDescent="0.25">
      <c r="A59" s="77" t="s">
        <v>105</v>
      </c>
      <c r="B59" s="143">
        <v>303</v>
      </c>
      <c r="C59" s="6" t="s">
        <v>33</v>
      </c>
      <c r="D59" s="6" t="s">
        <v>41</v>
      </c>
      <c r="E59" s="105" t="s">
        <v>106</v>
      </c>
      <c r="F59" s="141"/>
      <c r="G59" s="135">
        <f>G60</f>
        <v>111120</v>
      </c>
      <c r="H59" s="135">
        <f t="shared" si="19"/>
        <v>119591</v>
      </c>
      <c r="I59" s="135">
        <f t="shared" si="19"/>
        <v>95000</v>
      </c>
    </row>
    <row r="60" spans="1:9" ht="34.9" customHeight="1" x14ac:dyDescent="0.25">
      <c r="A60" s="80" t="s">
        <v>65</v>
      </c>
      <c r="B60" s="143">
        <v>303</v>
      </c>
      <c r="C60" s="7" t="s">
        <v>33</v>
      </c>
      <c r="D60" s="7" t="s">
        <v>41</v>
      </c>
      <c r="E60" s="106" t="s">
        <v>106</v>
      </c>
      <c r="F60" s="141">
        <v>200</v>
      </c>
      <c r="G60" s="136">
        <f>G61</f>
        <v>111120</v>
      </c>
      <c r="H60" s="136">
        <f t="shared" si="19"/>
        <v>119591</v>
      </c>
      <c r="I60" s="136">
        <f t="shared" si="19"/>
        <v>95000</v>
      </c>
    </row>
    <row r="61" spans="1:9" ht="58.15" customHeight="1" x14ac:dyDescent="0.25">
      <c r="A61" s="74" t="s">
        <v>28</v>
      </c>
      <c r="B61" s="143">
        <v>303</v>
      </c>
      <c r="C61" s="7" t="s">
        <v>33</v>
      </c>
      <c r="D61" s="7" t="s">
        <v>41</v>
      </c>
      <c r="E61" s="106" t="s">
        <v>106</v>
      </c>
      <c r="F61" s="141">
        <v>240</v>
      </c>
      <c r="G61" s="136">
        <f>95000+5000+11120</f>
        <v>111120</v>
      </c>
      <c r="H61" s="136">
        <f>95000+24591</f>
        <v>119591</v>
      </c>
      <c r="I61" s="136">
        <f t="shared" ref="I61" si="21">95000</f>
        <v>95000</v>
      </c>
    </row>
    <row r="62" spans="1:9" ht="32.450000000000003" customHeight="1" x14ac:dyDescent="0.25">
      <c r="A62" s="77" t="s">
        <v>281</v>
      </c>
      <c r="B62" s="143">
        <v>303</v>
      </c>
      <c r="C62" s="6" t="s">
        <v>33</v>
      </c>
      <c r="D62" s="6" t="s">
        <v>41</v>
      </c>
      <c r="E62" s="105" t="s">
        <v>280</v>
      </c>
      <c r="F62" s="141"/>
      <c r="G62" s="135">
        <f>G63</f>
        <v>36175</v>
      </c>
      <c r="H62" s="135">
        <f t="shared" si="19"/>
        <v>0</v>
      </c>
      <c r="I62" s="135">
        <f t="shared" si="19"/>
        <v>0</v>
      </c>
    </row>
    <row r="63" spans="1:9" ht="34.9" customHeight="1" x14ac:dyDescent="0.25">
      <c r="A63" s="80" t="s">
        <v>65</v>
      </c>
      <c r="B63" s="143">
        <v>303</v>
      </c>
      <c r="C63" s="7" t="s">
        <v>33</v>
      </c>
      <c r="D63" s="7" t="s">
        <v>41</v>
      </c>
      <c r="E63" s="106" t="s">
        <v>280</v>
      </c>
      <c r="F63" s="141">
        <v>200</v>
      </c>
      <c r="G63" s="136">
        <f>G64</f>
        <v>36175</v>
      </c>
      <c r="H63" s="136">
        <f t="shared" si="19"/>
        <v>0</v>
      </c>
      <c r="I63" s="136">
        <f t="shared" si="19"/>
        <v>0</v>
      </c>
    </row>
    <row r="64" spans="1:9" ht="58.15" customHeight="1" x14ac:dyDescent="0.25">
      <c r="A64" s="74" t="s">
        <v>28</v>
      </c>
      <c r="B64" s="143">
        <v>303</v>
      </c>
      <c r="C64" s="7" t="s">
        <v>33</v>
      </c>
      <c r="D64" s="7" t="s">
        <v>41</v>
      </c>
      <c r="E64" s="106" t="s">
        <v>280</v>
      </c>
      <c r="F64" s="141">
        <v>240</v>
      </c>
      <c r="G64" s="136">
        <f>12175+17000+7000</f>
        <v>36175</v>
      </c>
      <c r="H64" s="136">
        <v>0</v>
      </c>
      <c r="I64" s="136">
        <v>0</v>
      </c>
    </row>
    <row r="65" spans="1:11" ht="49.9" customHeight="1" x14ac:dyDescent="0.25">
      <c r="A65" s="77" t="s">
        <v>283</v>
      </c>
      <c r="B65" s="143">
        <v>303</v>
      </c>
      <c r="C65" s="6" t="s">
        <v>33</v>
      </c>
      <c r="D65" s="6" t="s">
        <v>41</v>
      </c>
      <c r="E65" s="105" t="s">
        <v>282</v>
      </c>
      <c r="F65" s="141"/>
      <c r="G65" s="135">
        <f>G68+G66</f>
        <v>242284</v>
      </c>
      <c r="H65" s="135">
        <f t="shared" ref="H65:I65" si="22">H68+H66</f>
        <v>0</v>
      </c>
      <c r="I65" s="135">
        <f t="shared" si="22"/>
        <v>0</v>
      </c>
    </row>
    <row r="66" spans="1:11" ht="37.15" customHeight="1" x14ac:dyDescent="0.25">
      <c r="A66" s="80" t="s">
        <v>65</v>
      </c>
      <c r="B66" s="325">
        <v>303</v>
      </c>
      <c r="C66" s="317" t="s">
        <v>33</v>
      </c>
      <c r="D66" s="317" t="s">
        <v>41</v>
      </c>
      <c r="E66" s="321" t="s">
        <v>282</v>
      </c>
      <c r="F66" s="141">
        <v>200</v>
      </c>
      <c r="G66" s="135">
        <f>G67</f>
        <v>3950</v>
      </c>
      <c r="H66" s="135">
        <f t="shared" ref="H66:I66" si="23">H67</f>
        <v>0</v>
      </c>
      <c r="I66" s="135">
        <f t="shared" si="23"/>
        <v>0</v>
      </c>
    </row>
    <row r="67" spans="1:11" ht="49.9" customHeight="1" x14ac:dyDescent="0.25">
      <c r="A67" s="318" t="s">
        <v>28</v>
      </c>
      <c r="B67" s="325">
        <v>303</v>
      </c>
      <c r="C67" s="317" t="s">
        <v>33</v>
      </c>
      <c r="D67" s="317" t="s">
        <v>41</v>
      </c>
      <c r="E67" s="321" t="s">
        <v>282</v>
      </c>
      <c r="F67" s="141">
        <v>240</v>
      </c>
      <c r="G67" s="324">
        <v>3950</v>
      </c>
      <c r="H67" s="324">
        <v>0</v>
      </c>
      <c r="I67" s="324">
        <v>0</v>
      </c>
    </row>
    <row r="68" spans="1:11" ht="27" customHeight="1" x14ac:dyDescent="0.25">
      <c r="A68" s="153" t="s">
        <v>14</v>
      </c>
      <c r="B68" s="143">
        <v>303</v>
      </c>
      <c r="C68" s="7" t="s">
        <v>33</v>
      </c>
      <c r="D68" s="7" t="s">
        <v>41</v>
      </c>
      <c r="E68" s="106" t="s">
        <v>282</v>
      </c>
      <c r="F68" s="141">
        <v>800</v>
      </c>
      <c r="G68" s="136">
        <f>G69</f>
        <v>238334</v>
      </c>
      <c r="H68" s="136">
        <f t="shared" si="19"/>
        <v>0</v>
      </c>
      <c r="I68" s="136">
        <f t="shared" si="19"/>
        <v>0</v>
      </c>
    </row>
    <row r="69" spans="1:11" ht="27" customHeight="1" x14ac:dyDescent="0.25">
      <c r="A69" s="146" t="s">
        <v>15</v>
      </c>
      <c r="B69" s="143">
        <v>303</v>
      </c>
      <c r="C69" s="7" t="s">
        <v>33</v>
      </c>
      <c r="D69" s="7" t="s">
        <v>41</v>
      </c>
      <c r="E69" s="106" t="s">
        <v>282</v>
      </c>
      <c r="F69" s="141">
        <v>850</v>
      </c>
      <c r="G69" s="136">
        <f>60000+178334</f>
        <v>238334</v>
      </c>
      <c r="H69" s="136">
        <v>0</v>
      </c>
      <c r="I69" s="136">
        <v>0</v>
      </c>
    </row>
    <row r="70" spans="1:11" ht="69.599999999999994" customHeight="1" x14ac:dyDescent="0.25">
      <c r="A70" s="77" t="s">
        <v>262</v>
      </c>
      <c r="B70" s="143">
        <v>303</v>
      </c>
      <c r="C70" s="6" t="s">
        <v>33</v>
      </c>
      <c r="D70" s="6" t="s">
        <v>41</v>
      </c>
      <c r="E70" s="105" t="s">
        <v>285</v>
      </c>
      <c r="F70" s="141"/>
      <c r="G70" s="135">
        <f>G71</f>
        <v>109475.62</v>
      </c>
      <c r="H70" s="135">
        <f t="shared" si="19"/>
        <v>0</v>
      </c>
      <c r="I70" s="135">
        <f t="shared" si="19"/>
        <v>0</v>
      </c>
    </row>
    <row r="71" spans="1:11" ht="27.6" customHeight="1" x14ac:dyDescent="0.25">
      <c r="A71" s="153" t="s">
        <v>14</v>
      </c>
      <c r="B71" s="143">
        <v>303</v>
      </c>
      <c r="C71" s="7" t="s">
        <v>33</v>
      </c>
      <c r="D71" s="7" t="s">
        <v>41</v>
      </c>
      <c r="E71" s="106" t="s">
        <v>285</v>
      </c>
      <c r="F71" s="141">
        <v>800</v>
      </c>
      <c r="G71" s="136">
        <f>G72</f>
        <v>109475.62</v>
      </c>
      <c r="H71" s="136">
        <f t="shared" si="19"/>
        <v>0</v>
      </c>
      <c r="I71" s="136">
        <f t="shared" si="19"/>
        <v>0</v>
      </c>
    </row>
    <row r="72" spans="1:11" ht="23.45" customHeight="1" x14ac:dyDescent="0.25">
      <c r="A72" s="74" t="s">
        <v>190</v>
      </c>
      <c r="B72" s="143">
        <v>303</v>
      </c>
      <c r="C72" s="7" t="s">
        <v>33</v>
      </c>
      <c r="D72" s="7" t="s">
        <v>41</v>
      </c>
      <c r="E72" s="106" t="s">
        <v>285</v>
      </c>
      <c r="F72" s="141">
        <v>830</v>
      </c>
      <c r="G72" s="136">
        <f>83179.14+26296.48</f>
        <v>109475.62</v>
      </c>
      <c r="H72" s="136">
        <v>0</v>
      </c>
      <c r="I72" s="136">
        <v>0</v>
      </c>
    </row>
    <row r="73" spans="1:11" ht="21" customHeight="1" x14ac:dyDescent="0.25">
      <c r="A73" s="137" t="s">
        <v>25</v>
      </c>
      <c r="B73" s="118">
        <v>303</v>
      </c>
      <c r="C73" s="6" t="s">
        <v>36</v>
      </c>
      <c r="D73" s="6" t="s">
        <v>35</v>
      </c>
      <c r="E73" s="138"/>
      <c r="F73" s="139"/>
      <c r="G73" s="135">
        <f>G74</f>
        <v>504651.51224999997</v>
      </c>
      <c r="H73" s="135">
        <f t="shared" ref="H73:I75" si="24">H74</f>
        <v>514066.45</v>
      </c>
      <c r="I73" s="135">
        <f t="shared" si="24"/>
        <v>532953.05000000005</v>
      </c>
    </row>
    <row r="74" spans="1:11" ht="31.5" x14ac:dyDescent="0.25">
      <c r="A74" s="137" t="s">
        <v>26</v>
      </c>
      <c r="B74" s="118">
        <v>303</v>
      </c>
      <c r="C74" s="6" t="s">
        <v>36</v>
      </c>
      <c r="D74" s="6" t="s">
        <v>37</v>
      </c>
      <c r="E74" s="138"/>
      <c r="F74" s="141"/>
      <c r="G74" s="135">
        <f>G75</f>
        <v>504651.51224999997</v>
      </c>
      <c r="H74" s="135">
        <f t="shared" si="24"/>
        <v>514066.45</v>
      </c>
      <c r="I74" s="135">
        <f t="shared" si="24"/>
        <v>532953.05000000005</v>
      </c>
    </row>
    <row r="75" spans="1:11" ht="36" customHeight="1" x14ac:dyDescent="0.25">
      <c r="A75" s="81" t="s">
        <v>107</v>
      </c>
      <c r="B75" s="118">
        <v>303</v>
      </c>
      <c r="C75" s="6" t="s">
        <v>36</v>
      </c>
      <c r="D75" s="6" t="s">
        <v>37</v>
      </c>
      <c r="E75" s="105" t="s">
        <v>108</v>
      </c>
      <c r="F75" s="141"/>
      <c r="G75" s="135">
        <f>G76</f>
        <v>504651.51224999997</v>
      </c>
      <c r="H75" s="135">
        <f t="shared" si="24"/>
        <v>514066.45</v>
      </c>
      <c r="I75" s="135">
        <f t="shared" si="24"/>
        <v>532953.05000000005</v>
      </c>
    </row>
    <row r="76" spans="1:11" ht="67.900000000000006" customHeight="1" x14ac:dyDescent="0.25">
      <c r="A76" s="123" t="s">
        <v>214</v>
      </c>
      <c r="B76" s="118">
        <v>303</v>
      </c>
      <c r="C76" s="6" t="s">
        <v>36</v>
      </c>
      <c r="D76" s="6" t="s">
        <v>37</v>
      </c>
      <c r="E76" s="105" t="s">
        <v>109</v>
      </c>
      <c r="F76" s="142"/>
      <c r="G76" s="133">
        <f>G77+G79</f>
        <v>504651.51224999997</v>
      </c>
      <c r="H76" s="133">
        <f t="shared" ref="H76:I76" si="25">H77+H79</f>
        <v>514066.45</v>
      </c>
      <c r="I76" s="133">
        <f t="shared" si="25"/>
        <v>532953.05000000005</v>
      </c>
    </row>
    <row r="77" spans="1:11" ht="94.15" customHeight="1" x14ac:dyDescent="0.25">
      <c r="A77" s="74" t="s">
        <v>87</v>
      </c>
      <c r="B77" s="143">
        <v>303</v>
      </c>
      <c r="C77" s="7" t="s">
        <v>36</v>
      </c>
      <c r="D77" s="7" t="s">
        <v>37</v>
      </c>
      <c r="E77" s="106" t="s">
        <v>109</v>
      </c>
      <c r="F77" s="142">
        <v>100</v>
      </c>
      <c r="G77" s="133">
        <f>G78</f>
        <v>496547.02999999997</v>
      </c>
      <c r="H77" s="133">
        <f t="shared" ref="H77:I77" si="26">H78</f>
        <v>504466.45</v>
      </c>
      <c r="I77" s="133">
        <f t="shared" si="26"/>
        <v>522969.05</v>
      </c>
    </row>
    <row r="78" spans="1:11" ht="49.15" customHeight="1" x14ac:dyDescent="0.25">
      <c r="A78" s="74" t="s">
        <v>13</v>
      </c>
      <c r="B78" s="143">
        <v>303</v>
      </c>
      <c r="C78" s="7" t="s">
        <v>36</v>
      </c>
      <c r="D78" s="7" t="s">
        <v>37</v>
      </c>
      <c r="E78" s="106" t="s">
        <v>109</v>
      </c>
      <c r="F78" s="142">
        <v>120</v>
      </c>
      <c r="G78" s="133">
        <f>487846.76+7574.75-143.33-500+1768.85</f>
        <v>496547.02999999997</v>
      </c>
      <c r="H78" s="134">
        <f>504466.45</f>
        <v>504466.45</v>
      </c>
      <c r="I78" s="134">
        <f>522969.05</f>
        <v>522969.05</v>
      </c>
      <c r="K78" s="83" t="s">
        <v>185</v>
      </c>
    </row>
    <row r="79" spans="1:11" ht="40.15" customHeight="1" x14ac:dyDescent="0.25">
      <c r="A79" s="80" t="s">
        <v>65</v>
      </c>
      <c r="B79" s="143">
        <v>303</v>
      </c>
      <c r="C79" s="7" t="s">
        <v>36</v>
      </c>
      <c r="D79" s="7" t="s">
        <v>37</v>
      </c>
      <c r="E79" s="106" t="s">
        <v>109</v>
      </c>
      <c r="F79" s="141">
        <v>200</v>
      </c>
      <c r="G79" s="136">
        <f>G80</f>
        <v>8104.4822499999991</v>
      </c>
      <c r="H79" s="136">
        <f t="shared" ref="H79:I79" si="27">H80</f>
        <v>9600</v>
      </c>
      <c r="I79" s="136">
        <f t="shared" si="27"/>
        <v>9984</v>
      </c>
    </row>
    <row r="80" spans="1:11" ht="55.9" customHeight="1" x14ac:dyDescent="0.25">
      <c r="A80" s="74" t="s">
        <v>28</v>
      </c>
      <c r="B80" s="143">
        <v>303</v>
      </c>
      <c r="C80" s="7" t="s">
        <v>36</v>
      </c>
      <c r="D80" s="7" t="s">
        <v>37</v>
      </c>
      <c r="E80" s="106" t="s">
        <v>109</v>
      </c>
      <c r="F80" s="141">
        <v>240</v>
      </c>
      <c r="G80" s="136">
        <f>8746.95*1.055+1.97+143.33+500-1768.85</f>
        <v>8104.4822499999991</v>
      </c>
      <c r="H80" s="136">
        <f>9600</f>
        <v>9600</v>
      </c>
      <c r="I80" s="136">
        <f>H80*1.04</f>
        <v>9984</v>
      </c>
    </row>
    <row r="81" spans="1:9" ht="31.5" x14ac:dyDescent="0.25">
      <c r="A81" s="137" t="s">
        <v>32</v>
      </c>
      <c r="B81" s="118">
        <v>303</v>
      </c>
      <c r="C81" s="6" t="s">
        <v>37</v>
      </c>
      <c r="D81" s="6" t="s">
        <v>35</v>
      </c>
      <c r="E81" s="138"/>
      <c r="F81" s="139"/>
      <c r="G81" s="135">
        <f>G82</f>
        <v>160375</v>
      </c>
      <c r="H81" s="135">
        <f>H82</f>
        <v>50000</v>
      </c>
      <c r="I81" s="135">
        <f>I82</f>
        <v>40000</v>
      </c>
    </row>
    <row r="82" spans="1:9" ht="69" customHeight="1" x14ac:dyDescent="0.25">
      <c r="A82" s="137" t="s">
        <v>52</v>
      </c>
      <c r="B82" s="118">
        <v>303</v>
      </c>
      <c r="C82" s="6" t="s">
        <v>37</v>
      </c>
      <c r="D82" s="6" t="s">
        <v>42</v>
      </c>
      <c r="E82" s="138"/>
      <c r="F82" s="139"/>
      <c r="G82" s="135">
        <f>G83+G90</f>
        <v>160375</v>
      </c>
      <c r="H82" s="135">
        <f t="shared" ref="H82:I82" si="28">H83+H90</f>
        <v>50000</v>
      </c>
      <c r="I82" s="135">
        <f t="shared" si="28"/>
        <v>40000</v>
      </c>
    </row>
    <row r="83" spans="1:9" ht="86.45" customHeight="1" x14ac:dyDescent="0.25">
      <c r="A83" s="76" t="s">
        <v>255</v>
      </c>
      <c r="B83" s="118">
        <v>303</v>
      </c>
      <c r="C83" s="6" t="s">
        <v>37</v>
      </c>
      <c r="D83" s="6" t="s">
        <v>42</v>
      </c>
      <c r="E83" s="105" t="s">
        <v>62</v>
      </c>
      <c r="F83" s="105"/>
      <c r="G83" s="135">
        <f>G84+G87</f>
        <v>93200</v>
      </c>
      <c r="H83" s="135">
        <f t="shared" ref="H83:I83" si="29">H84+H87</f>
        <v>50000</v>
      </c>
      <c r="I83" s="135">
        <f t="shared" si="29"/>
        <v>40000</v>
      </c>
    </row>
    <row r="84" spans="1:9" ht="64.5" customHeight="1" x14ac:dyDescent="0.25">
      <c r="A84" s="76" t="s">
        <v>63</v>
      </c>
      <c r="B84" s="118">
        <v>303</v>
      </c>
      <c r="C84" s="6" t="s">
        <v>37</v>
      </c>
      <c r="D84" s="6" t="s">
        <v>42</v>
      </c>
      <c r="E84" s="105" t="s">
        <v>64</v>
      </c>
      <c r="F84" s="105"/>
      <c r="G84" s="135">
        <f>G85</f>
        <v>73200</v>
      </c>
      <c r="H84" s="135">
        <f t="shared" ref="H84:I85" si="30">H85</f>
        <v>30000</v>
      </c>
      <c r="I84" s="135">
        <f t="shared" si="30"/>
        <v>20000</v>
      </c>
    </row>
    <row r="85" spans="1:9" ht="45.6" customHeight="1" x14ac:dyDescent="0.25">
      <c r="A85" s="74" t="s">
        <v>65</v>
      </c>
      <c r="B85" s="143">
        <v>303</v>
      </c>
      <c r="C85" s="7" t="s">
        <v>37</v>
      </c>
      <c r="D85" s="7" t="s">
        <v>42</v>
      </c>
      <c r="E85" s="106" t="s">
        <v>64</v>
      </c>
      <c r="F85" s="106">
        <v>200</v>
      </c>
      <c r="G85" s="136">
        <f>G86</f>
        <v>73200</v>
      </c>
      <c r="H85" s="136">
        <f t="shared" si="30"/>
        <v>30000</v>
      </c>
      <c r="I85" s="136">
        <f t="shared" si="30"/>
        <v>20000</v>
      </c>
    </row>
    <row r="86" spans="1:9" ht="47.25" x14ac:dyDescent="0.25">
      <c r="A86" s="74" t="s">
        <v>28</v>
      </c>
      <c r="B86" s="143">
        <v>303</v>
      </c>
      <c r="C86" s="7" t="s">
        <v>37</v>
      </c>
      <c r="D86" s="7" t="s">
        <v>42</v>
      </c>
      <c r="E86" s="106" t="s">
        <v>64</v>
      </c>
      <c r="F86" s="106">
        <v>240</v>
      </c>
      <c r="G86" s="136">
        <f>50000-45200+45200+23000+200</f>
        <v>73200</v>
      </c>
      <c r="H86" s="136">
        <f>30000</f>
        <v>30000</v>
      </c>
      <c r="I86" s="136">
        <f>20000</f>
        <v>20000</v>
      </c>
    </row>
    <row r="87" spans="1:9" ht="37.9" customHeight="1" x14ac:dyDescent="0.25">
      <c r="A87" s="190" t="s">
        <v>66</v>
      </c>
      <c r="B87" s="118">
        <v>303</v>
      </c>
      <c r="C87" s="6" t="s">
        <v>37</v>
      </c>
      <c r="D87" s="6" t="s">
        <v>42</v>
      </c>
      <c r="E87" s="188" t="s">
        <v>67</v>
      </c>
      <c r="F87" s="139"/>
      <c r="G87" s="135">
        <f>G88</f>
        <v>20000</v>
      </c>
      <c r="H87" s="135">
        <f t="shared" ref="H87:I87" si="31">H88</f>
        <v>20000</v>
      </c>
      <c r="I87" s="135">
        <f t="shared" si="31"/>
        <v>20000</v>
      </c>
    </row>
    <row r="88" spans="1:9" ht="54.6" customHeight="1" x14ac:dyDescent="0.25">
      <c r="A88" s="177" t="s">
        <v>34</v>
      </c>
      <c r="B88" s="143">
        <v>303</v>
      </c>
      <c r="C88" s="7" t="s">
        <v>37</v>
      </c>
      <c r="D88" s="7" t="s">
        <v>42</v>
      </c>
      <c r="E88" s="178" t="s">
        <v>67</v>
      </c>
      <c r="F88" s="141">
        <v>600</v>
      </c>
      <c r="G88" s="136">
        <f>G89</f>
        <v>20000</v>
      </c>
      <c r="H88" s="136">
        <f t="shared" ref="H88:I88" si="32">H89</f>
        <v>20000</v>
      </c>
      <c r="I88" s="136">
        <f t="shared" si="32"/>
        <v>20000</v>
      </c>
    </row>
    <row r="89" spans="1:9" ht="82.15" customHeight="1" x14ac:dyDescent="0.25">
      <c r="A89" s="177" t="s">
        <v>156</v>
      </c>
      <c r="B89" s="143">
        <v>303</v>
      </c>
      <c r="C89" s="7" t="s">
        <v>37</v>
      </c>
      <c r="D89" s="7" t="s">
        <v>42</v>
      </c>
      <c r="E89" s="178" t="s">
        <v>67</v>
      </c>
      <c r="F89" s="141">
        <v>630</v>
      </c>
      <c r="G89" s="136">
        <f>20000</f>
        <v>20000</v>
      </c>
      <c r="H89" s="136">
        <f>20000</f>
        <v>20000</v>
      </c>
      <c r="I89" s="136">
        <f>20000</f>
        <v>20000</v>
      </c>
    </row>
    <row r="90" spans="1:9" s="1" customFormat="1" ht="51.6" customHeight="1" x14ac:dyDescent="0.25">
      <c r="A90" s="81" t="s">
        <v>194</v>
      </c>
      <c r="B90" s="247">
        <v>303</v>
      </c>
      <c r="C90" s="6" t="s">
        <v>37</v>
      </c>
      <c r="D90" s="6" t="s">
        <v>42</v>
      </c>
      <c r="E90" s="105" t="s">
        <v>196</v>
      </c>
      <c r="F90" s="4"/>
      <c r="G90" s="252">
        <f>G91</f>
        <v>67175</v>
      </c>
      <c r="H90" s="252">
        <f>H91</f>
        <v>0</v>
      </c>
      <c r="I90" s="252">
        <f>I91</f>
        <v>0</v>
      </c>
    </row>
    <row r="91" spans="1:9" s="175" customFormat="1" ht="73.900000000000006" customHeight="1" x14ac:dyDescent="0.25">
      <c r="A91" s="137" t="s">
        <v>195</v>
      </c>
      <c r="B91" s="267">
        <v>303</v>
      </c>
      <c r="C91" s="6" t="s">
        <v>37</v>
      </c>
      <c r="D91" s="6" t="s">
        <v>42</v>
      </c>
      <c r="E91" s="188" t="s">
        <v>225</v>
      </c>
      <c r="F91" s="139"/>
      <c r="G91" s="135">
        <f>G92</f>
        <v>67175</v>
      </c>
      <c r="H91" s="135">
        <f t="shared" ref="H91:I92" si="33">H92</f>
        <v>0</v>
      </c>
      <c r="I91" s="135">
        <f t="shared" si="33"/>
        <v>0</v>
      </c>
    </row>
    <row r="92" spans="1:9" ht="46.15" customHeight="1" x14ac:dyDescent="0.25">
      <c r="A92" s="146" t="s">
        <v>65</v>
      </c>
      <c r="B92" s="143">
        <v>303</v>
      </c>
      <c r="C92" s="7" t="s">
        <v>37</v>
      </c>
      <c r="D92" s="7" t="s">
        <v>42</v>
      </c>
      <c r="E92" s="178" t="s">
        <v>225</v>
      </c>
      <c r="F92" s="141">
        <v>200</v>
      </c>
      <c r="G92" s="136">
        <f>G93</f>
        <v>67175</v>
      </c>
      <c r="H92" s="136">
        <f t="shared" si="33"/>
        <v>0</v>
      </c>
      <c r="I92" s="136">
        <f t="shared" si="33"/>
        <v>0</v>
      </c>
    </row>
    <row r="93" spans="1:9" ht="59.45" customHeight="1" x14ac:dyDescent="0.25">
      <c r="A93" s="146" t="s">
        <v>28</v>
      </c>
      <c r="B93" s="143">
        <v>303</v>
      </c>
      <c r="C93" s="7" t="s">
        <v>37</v>
      </c>
      <c r="D93" s="7" t="s">
        <v>42</v>
      </c>
      <c r="E93" s="178" t="s">
        <v>225</v>
      </c>
      <c r="F93" s="141">
        <v>240</v>
      </c>
      <c r="G93" s="136">
        <f>67175</f>
        <v>67175</v>
      </c>
      <c r="H93" s="136">
        <v>0</v>
      </c>
      <c r="I93" s="136">
        <v>0</v>
      </c>
    </row>
    <row r="94" spans="1:9" ht="25.15" customHeight="1" x14ac:dyDescent="0.25">
      <c r="A94" s="137" t="s">
        <v>6</v>
      </c>
      <c r="B94" s="118">
        <v>303</v>
      </c>
      <c r="C94" s="6" t="s">
        <v>38</v>
      </c>
      <c r="D94" s="6" t="s">
        <v>35</v>
      </c>
      <c r="E94" s="138"/>
      <c r="F94" s="191"/>
      <c r="G94" s="150">
        <f>G95</f>
        <v>1714938.7</v>
      </c>
      <c r="H94" s="150">
        <f t="shared" ref="H94:I107" si="34">H95</f>
        <v>1073139</v>
      </c>
      <c r="I94" s="150">
        <f t="shared" si="34"/>
        <v>1124508.5</v>
      </c>
    </row>
    <row r="95" spans="1:9" ht="25.9" customHeight="1" x14ac:dyDescent="0.25">
      <c r="A95" s="137" t="s">
        <v>8</v>
      </c>
      <c r="B95" s="118">
        <v>303</v>
      </c>
      <c r="C95" s="6" t="s">
        <v>38</v>
      </c>
      <c r="D95" s="6" t="s">
        <v>43</v>
      </c>
      <c r="E95" s="138"/>
      <c r="F95" s="142"/>
      <c r="G95" s="150">
        <f>G96+G109+G119+G126</f>
        <v>1714938.7</v>
      </c>
      <c r="H95" s="150">
        <f t="shared" ref="H95:I95" si="35">H96+H109+H119+H126</f>
        <v>1073139</v>
      </c>
      <c r="I95" s="150">
        <f t="shared" si="35"/>
        <v>1124508.5</v>
      </c>
    </row>
    <row r="96" spans="1:9" ht="96" customHeight="1" x14ac:dyDescent="0.25">
      <c r="A96" s="76" t="s">
        <v>69</v>
      </c>
      <c r="B96" s="118">
        <v>303</v>
      </c>
      <c r="C96" s="6" t="s">
        <v>38</v>
      </c>
      <c r="D96" s="6" t="s">
        <v>43</v>
      </c>
      <c r="E96" s="188" t="s">
        <v>70</v>
      </c>
      <c r="F96" s="139"/>
      <c r="G96" s="135">
        <f>G103+G97+G100+G106</f>
        <v>1514938.7</v>
      </c>
      <c r="H96" s="135">
        <f t="shared" ref="H96:I96" si="36">H103+H97+H100+H106</f>
        <v>1073139</v>
      </c>
      <c r="I96" s="135">
        <f t="shared" si="36"/>
        <v>1124508.5</v>
      </c>
    </row>
    <row r="97" spans="1:9" ht="37.15" customHeight="1" x14ac:dyDescent="0.25">
      <c r="A97" s="144" t="s">
        <v>188</v>
      </c>
      <c r="B97" s="247">
        <v>303</v>
      </c>
      <c r="C97" s="6" t="s">
        <v>38</v>
      </c>
      <c r="D97" s="6" t="s">
        <v>43</v>
      </c>
      <c r="E97" s="246" t="s">
        <v>189</v>
      </c>
      <c r="F97" s="248"/>
      <c r="G97" s="252">
        <f>G98</f>
        <v>153210</v>
      </c>
      <c r="H97" s="249">
        <f t="shared" ref="H97:I97" si="37">H98</f>
        <v>0</v>
      </c>
      <c r="I97" s="249">
        <f t="shared" si="37"/>
        <v>0</v>
      </c>
    </row>
    <row r="98" spans="1:9" ht="40.15" customHeight="1" x14ac:dyDescent="0.25">
      <c r="A98" s="146" t="s">
        <v>65</v>
      </c>
      <c r="B98" s="250">
        <v>303</v>
      </c>
      <c r="C98" s="7" t="s">
        <v>38</v>
      </c>
      <c r="D98" s="7" t="s">
        <v>43</v>
      </c>
      <c r="E98" s="40" t="s">
        <v>189</v>
      </c>
      <c r="F98" s="4">
        <v>200</v>
      </c>
      <c r="G98" s="251">
        <f>G99</f>
        <v>153210</v>
      </c>
      <c r="H98" s="251">
        <f t="shared" ref="H98:I98" si="38">H99</f>
        <v>0</v>
      </c>
      <c r="I98" s="251">
        <f t="shared" si="38"/>
        <v>0</v>
      </c>
    </row>
    <row r="99" spans="1:9" ht="48.6" customHeight="1" x14ac:dyDescent="0.25">
      <c r="A99" s="146" t="s">
        <v>28</v>
      </c>
      <c r="B99" s="250">
        <v>303</v>
      </c>
      <c r="C99" s="7" t="s">
        <v>38</v>
      </c>
      <c r="D99" s="7" t="s">
        <v>43</v>
      </c>
      <c r="E99" s="40" t="s">
        <v>189</v>
      </c>
      <c r="F99" s="4">
        <v>240</v>
      </c>
      <c r="G99" s="251">
        <f>153210</f>
        <v>153210</v>
      </c>
      <c r="H99" s="251">
        <f>0</f>
        <v>0</v>
      </c>
      <c r="I99" s="251">
        <f>0</f>
        <v>0</v>
      </c>
    </row>
    <row r="100" spans="1:9" ht="112.15" hidden="1" customHeight="1" x14ac:dyDescent="0.25">
      <c r="A100" s="144" t="s">
        <v>237</v>
      </c>
      <c r="B100" s="247">
        <v>303</v>
      </c>
      <c r="C100" s="6" t="s">
        <v>38</v>
      </c>
      <c r="D100" s="6" t="s">
        <v>43</v>
      </c>
      <c r="E100" s="271" t="s">
        <v>236</v>
      </c>
      <c r="F100" s="248"/>
      <c r="G100" s="252">
        <f>G101</f>
        <v>0</v>
      </c>
      <c r="H100" s="249">
        <f t="shared" ref="H100:I101" si="39">H101</f>
        <v>0</v>
      </c>
      <c r="I100" s="249">
        <f t="shared" si="39"/>
        <v>0</v>
      </c>
    </row>
    <row r="101" spans="1:9" ht="40.15" hidden="1" customHeight="1" x14ac:dyDescent="0.25">
      <c r="A101" s="146" t="s">
        <v>65</v>
      </c>
      <c r="B101" s="250">
        <v>303</v>
      </c>
      <c r="C101" s="7" t="s">
        <v>38</v>
      </c>
      <c r="D101" s="7" t="s">
        <v>43</v>
      </c>
      <c r="E101" s="40" t="s">
        <v>236</v>
      </c>
      <c r="F101" s="4">
        <v>200</v>
      </c>
      <c r="G101" s="251">
        <f>G102</f>
        <v>0</v>
      </c>
      <c r="H101" s="251">
        <f t="shared" si="39"/>
        <v>0</v>
      </c>
      <c r="I101" s="251">
        <f t="shared" si="39"/>
        <v>0</v>
      </c>
    </row>
    <row r="102" spans="1:9" ht="48.6" hidden="1" customHeight="1" x14ac:dyDescent="0.25">
      <c r="A102" s="146" t="s">
        <v>28</v>
      </c>
      <c r="B102" s="250">
        <v>303</v>
      </c>
      <c r="C102" s="7" t="s">
        <v>38</v>
      </c>
      <c r="D102" s="7" t="s">
        <v>43</v>
      </c>
      <c r="E102" s="40" t="s">
        <v>236</v>
      </c>
      <c r="F102" s="4">
        <v>240</v>
      </c>
      <c r="G102" s="251">
        <v>0</v>
      </c>
      <c r="H102" s="251">
        <f>0</f>
        <v>0</v>
      </c>
      <c r="I102" s="251">
        <f>0</f>
        <v>0</v>
      </c>
    </row>
    <row r="103" spans="1:9" ht="157.5" x14ac:dyDescent="0.25">
      <c r="A103" s="124" t="s">
        <v>157</v>
      </c>
      <c r="B103" s="164">
        <v>303</v>
      </c>
      <c r="C103" s="125" t="s">
        <v>38</v>
      </c>
      <c r="D103" s="125" t="s">
        <v>43</v>
      </c>
      <c r="E103" s="113" t="s">
        <v>72</v>
      </c>
      <c r="F103" s="192"/>
      <c r="G103" s="180">
        <f>G104</f>
        <v>997728.7</v>
      </c>
      <c r="H103" s="180">
        <f t="shared" si="34"/>
        <v>1073139</v>
      </c>
      <c r="I103" s="180">
        <f t="shared" si="34"/>
        <v>1124508.5</v>
      </c>
    </row>
    <row r="104" spans="1:9" ht="31.5" x14ac:dyDescent="0.25">
      <c r="A104" s="126" t="s">
        <v>65</v>
      </c>
      <c r="B104" s="168">
        <v>303</v>
      </c>
      <c r="C104" s="127" t="s">
        <v>38</v>
      </c>
      <c r="D104" s="127" t="s">
        <v>43</v>
      </c>
      <c r="E104" s="114" t="s">
        <v>72</v>
      </c>
      <c r="F104" s="193">
        <v>200</v>
      </c>
      <c r="G104" s="181">
        <f>G105</f>
        <v>997728.7</v>
      </c>
      <c r="H104" s="181">
        <f t="shared" si="34"/>
        <v>1073139</v>
      </c>
      <c r="I104" s="181">
        <f t="shared" si="34"/>
        <v>1124508.5</v>
      </c>
    </row>
    <row r="105" spans="1:9" ht="47.25" x14ac:dyDescent="0.25">
      <c r="A105" s="126" t="s">
        <v>28</v>
      </c>
      <c r="B105" s="168">
        <v>303</v>
      </c>
      <c r="C105" s="127" t="s">
        <v>38</v>
      </c>
      <c r="D105" s="127" t="s">
        <v>43</v>
      </c>
      <c r="E105" s="114" t="s">
        <v>72</v>
      </c>
      <c r="F105" s="193">
        <v>240</v>
      </c>
      <c r="G105" s="181">
        <f>997728.7</f>
        <v>997728.7</v>
      </c>
      <c r="H105" s="181">
        <f>1073139</f>
        <v>1073139</v>
      </c>
      <c r="I105" s="170">
        <f>1124508.5</f>
        <v>1124508.5</v>
      </c>
    </row>
    <row r="106" spans="1:9" ht="31.5" x14ac:dyDescent="0.25">
      <c r="A106" s="124" t="s">
        <v>292</v>
      </c>
      <c r="B106" s="164">
        <v>303</v>
      </c>
      <c r="C106" s="125" t="s">
        <v>38</v>
      </c>
      <c r="D106" s="125" t="s">
        <v>43</v>
      </c>
      <c r="E106" s="113" t="s">
        <v>250</v>
      </c>
      <c r="F106" s="192"/>
      <c r="G106" s="180">
        <f>G107</f>
        <v>364000</v>
      </c>
      <c r="H106" s="180">
        <f t="shared" si="34"/>
        <v>0</v>
      </c>
      <c r="I106" s="180">
        <f t="shared" si="34"/>
        <v>0</v>
      </c>
    </row>
    <row r="107" spans="1:9" ht="31.5" x14ac:dyDescent="0.25">
      <c r="A107" s="126" t="s">
        <v>65</v>
      </c>
      <c r="B107" s="168">
        <v>303</v>
      </c>
      <c r="C107" s="127" t="s">
        <v>38</v>
      </c>
      <c r="D107" s="127" t="s">
        <v>43</v>
      </c>
      <c r="E107" s="114" t="s">
        <v>250</v>
      </c>
      <c r="F107" s="193">
        <v>200</v>
      </c>
      <c r="G107" s="181">
        <f>G108</f>
        <v>364000</v>
      </c>
      <c r="H107" s="181">
        <f t="shared" si="34"/>
        <v>0</v>
      </c>
      <c r="I107" s="181">
        <f t="shared" si="34"/>
        <v>0</v>
      </c>
    </row>
    <row r="108" spans="1:9" ht="47.25" x14ac:dyDescent="0.25">
      <c r="A108" s="126" t="s">
        <v>28</v>
      </c>
      <c r="B108" s="168">
        <v>303</v>
      </c>
      <c r="C108" s="127" t="s">
        <v>38</v>
      </c>
      <c r="D108" s="127" t="s">
        <v>43</v>
      </c>
      <c r="E108" s="114" t="s">
        <v>250</v>
      </c>
      <c r="F108" s="193">
        <v>240</v>
      </c>
      <c r="G108" s="181">
        <f>364000</f>
        <v>364000</v>
      </c>
      <c r="H108" s="181">
        <v>0</v>
      </c>
      <c r="I108" s="170">
        <v>0</v>
      </c>
    </row>
    <row r="109" spans="1:9" ht="64.900000000000006" hidden="1" customHeight="1" x14ac:dyDescent="0.25">
      <c r="A109" s="115" t="s">
        <v>164</v>
      </c>
      <c r="B109" s="156">
        <v>303</v>
      </c>
      <c r="C109" s="102" t="s">
        <v>38</v>
      </c>
      <c r="D109" s="102" t="s">
        <v>43</v>
      </c>
      <c r="E109" s="157" t="s">
        <v>161</v>
      </c>
      <c r="F109" s="96"/>
      <c r="G109" s="158">
        <f>G116+G110+G113</f>
        <v>0</v>
      </c>
      <c r="H109" s="158">
        <f t="shared" ref="H109:I109" si="40">H116+H110</f>
        <v>0</v>
      </c>
      <c r="I109" s="158">
        <f t="shared" si="40"/>
        <v>0</v>
      </c>
    </row>
    <row r="110" spans="1:9" ht="49.15" hidden="1" customHeight="1" x14ac:dyDescent="0.25">
      <c r="A110" s="100" t="s">
        <v>219</v>
      </c>
      <c r="B110" s="253">
        <v>303</v>
      </c>
      <c r="C110" s="102" t="s">
        <v>38</v>
      </c>
      <c r="D110" s="102" t="s">
        <v>43</v>
      </c>
      <c r="E110" s="259" t="s">
        <v>230</v>
      </c>
      <c r="F110" s="260"/>
      <c r="G110" s="261">
        <f>G111</f>
        <v>0</v>
      </c>
      <c r="H110" s="261">
        <f t="shared" ref="H110:I114" si="41">H111</f>
        <v>0</v>
      </c>
      <c r="I110" s="261">
        <f t="shared" si="41"/>
        <v>0</v>
      </c>
    </row>
    <row r="111" spans="1:9" ht="34.9" hidden="1" customHeight="1" x14ac:dyDescent="0.25">
      <c r="A111" s="101" t="s">
        <v>65</v>
      </c>
      <c r="B111" s="254">
        <v>303</v>
      </c>
      <c r="C111" s="99" t="s">
        <v>38</v>
      </c>
      <c r="D111" s="99" t="s">
        <v>43</v>
      </c>
      <c r="E111" s="262" t="s">
        <v>230</v>
      </c>
      <c r="F111" s="263">
        <v>200</v>
      </c>
      <c r="G111" s="264">
        <f>G112</f>
        <v>0</v>
      </c>
      <c r="H111" s="264">
        <f t="shared" si="41"/>
        <v>0</v>
      </c>
      <c r="I111" s="264">
        <f t="shared" si="41"/>
        <v>0</v>
      </c>
    </row>
    <row r="112" spans="1:9" ht="52.9" hidden="1" customHeight="1" x14ac:dyDescent="0.25">
      <c r="A112" s="101" t="s">
        <v>28</v>
      </c>
      <c r="B112" s="254">
        <v>303</v>
      </c>
      <c r="C112" s="99" t="s">
        <v>38</v>
      </c>
      <c r="D112" s="99" t="s">
        <v>43</v>
      </c>
      <c r="E112" s="262" t="s">
        <v>230</v>
      </c>
      <c r="F112" s="263">
        <v>240</v>
      </c>
      <c r="G112" s="264">
        <v>0</v>
      </c>
      <c r="H112" s="264">
        <f>0</f>
        <v>0</v>
      </c>
      <c r="I112" s="264">
        <f>0</f>
        <v>0</v>
      </c>
    </row>
    <row r="113" spans="1:13" ht="64.900000000000006" hidden="1" customHeight="1" x14ac:dyDescent="0.25">
      <c r="A113" s="100" t="s">
        <v>232</v>
      </c>
      <c r="B113" s="253">
        <v>303</v>
      </c>
      <c r="C113" s="102" t="s">
        <v>38</v>
      </c>
      <c r="D113" s="102" t="s">
        <v>43</v>
      </c>
      <c r="E113" s="259" t="s">
        <v>231</v>
      </c>
      <c r="F113" s="260"/>
      <c r="G113" s="261">
        <f>G114</f>
        <v>0</v>
      </c>
      <c r="H113" s="261">
        <f t="shared" si="41"/>
        <v>0</v>
      </c>
      <c r="I113" s="261">
        <f t="shared" si="41"/>
        <v>0</v>
      </c>
    </row>
    <row r="114" spans="1:13" ht="34.9" hidden="1" customHeight="1" x14ac:dyDescent="0.25">
      <c r="A114" s="101" t="s">
        <v>65</v>
      </c>
      <c r="B114" s="254">
        <v>303</v>
      </c>
      <c r="C114" s="99" t="s">
        <v>38</v>
      </c>
      <c r="D114" s="99" t="s">
        <v>43</v>
      </c>
      <c r="E114" s="262" t="s">
        <v>231</v>
      </c>
      <c r="F114" s="263">
        <v>200</v>
      </c>
      <c r="G114" s="264">
        <f>G115</f>
        <v>0</v>
      </c>
      <c r="H114" s="264">
        <f t="shared" si="41"/>
        <v>0</v>
      </c>
      <c r="I114" s="264">
        <f t="shared" si="41"/>
        <v>0</v>
      </c>
    </row>
    <row r="115" spans="1:13" ht="52.9" hidden="1" customHeight="1" x14ac:dyDescent="0.25">
      <c r="A115" s="101" t="s">
        <v>28</v>
      </c>
      <c r="B115" s="254">
        <v>303</v>
      </c>
      <c r="C115" s="99" t="s">
        <v>38</v>
      </c>
      <c r="D115" s="99" t="s">
        <v>43</v>
      </c>
      <c r="E115" s="262" t="s">
        <v>231</v>
      </c>
      <c r="F115" s="263">
        <v>240</v>
      </c>
      <c r="G115" s="264">
        <v>0</v>
      </c>
      <c r="H115" s="264">
        <f>0</f>
        <v>0</v>
      </c>
      <c r="I115" s="264">
        <f>0</f>
        <v>0</v>
      </c>
    </row>
    <row r="116" spans="1:13" ht="52.9" hidden="1" customHeight="1" x14ac:dyDescent="0.25">
      <c r="A116" s="100" t="s">
        <v>166</v>
      </c>
      <c r="B116" s="156">
        <v>303</v>
      </c>
      <c r="C116" s="102" t="s">
        <v>38</v>
      </c>
      <c r="D116" s="102" t="s">
        <v>43</v>
      </c>
      <c r="E116" s="103" t="s">
        <v>165</v>
      </c>
      <c r="F116" s="93"/>
      <c r="G116" s="158">
        <f>G117</f>
        <v>0</v>
      </c>
      <c r="H116" s="158">
        <f t="shared" ref="H116:I117" si="42">H117</f>
        <v>0</v>
      </c>
      <c r="I116" s="158">
        <f t="shared" si="42"/>
        <v>0</v>
      </c>
    </row>
    <row r="117" spans="1:13" ht="34.15" hidden="1" customHeight="1" x14ac:dyDescent="0.25">
      <c r="A117" s="101" t="s">
        <v>65</v>
      </c>
      <c r="B117" s="160">
        <v>303</v>
      </c>
      <c r="C117" s="99" t="s">
        <v>38</v>
      </c>
      <c r="D117" s="99" t="s">
        <v>43</v>
      </c>
      <c r="E117" s="104" t="s">
        <v>165</v>
      </c>
      <c r="F117" s="98">
        <v>200</v>
      </c>
      <c r="G117" s="161">
        <f>G118</f>
        <v>0</v>
      </c>
      <c r="H117" s="161">
        <f t="shared" si="42"/>
        <v>0</v>
      </c>
      <c r="I117" s="161">
        <f t="shared" si="42"/>
        <v>0</v>
      </c>
    </row>
    <row r="118" spans="1:13" ht="51" hidden="1" customHeight="1" x14ac:dyDescent="0.25">
      <c r="A118" s="101" t="s">
        <v>28</v>
      </c>
      <c r="B118" s="160">
        <v>303</v>
      </c>
      <c r="C118" s="99" t="s">
        <v>38</v>
      </c>
      <c r="D118" s="99" t="s">
        <v>43</v>
      </c>
      <c r="E118" s="104" t="s">
        <v>165</v>
      </c>
      <c r="F118" s="98">
        <v>240</v>
      </c>
      <c r="G118" s="161">
        <f>100820-100820</f>
        <v>0</v>
      </c>
      <c r="H118" s="161">
        <v>0</v>
      </c>
      <c r="I118" s="161">
        <v>0</v>
      </c>
      <c r="M118" s="140" t="s">
        <v>216</v>
      </c>
    </row>
    <row r="119" spans="1:13" ht="96" hidden="1" customHeight="1" x14ac:dyDescent="0.25">
      <c r="A119" s="76" t="s">
        <v>222</v>
      </c>
      <c r="B119" s="265">
        <v>303</v>
      </c>
      <c r="C119" s="6" t="s">
        <v>38</v>
      </c>
      <c r="D119" s="6" t="s">
        <v>43</v>
      </c>
      <c r="E119" s="188" t="s">
        <v>220</v>
      </c>
      <c r="F119" s="139"/>
      <c r="G119" s="135">
        <f>G120+G123</f>
        <v>0</v>
      </c>
      <c r="H119" s="135">
        <f t="shared" ref="H119:I119" si="43">H120</f>
        <v>0</v>
      </c>
      <c r="I119" s="135">
        <f t="shared" si="43"/>
        <v>0</v>
      </c>
    </row>
    <row r="120" spans="1:13" ht="39" hidden="1" customHeight="1" x14ac:dyDescent="0.25">
      <c r="A120" s="144" t="s">
        <v>224</v>
      </c>
      <c r="B120" s="247">
        <v>303</v>
      </c>
      <c r="C120" s="6" t="s">
        <v>38</v>
      </c>
      <c r="D120" s="6" t="s">
        <v>43</v>
      </c>
      <c r="E120" s="266" t="s">
        <v>223</v>
      </c>
      <c r="F120" s="248"/>
      <c r="G120" s="252">
        <f>G121</f>
        <v>0</v>
      </c>
      <c r="H120" s="249">
        <f t="shared" ref="H120:I124" si="44">H121</f>
        <v>0</v>
      </c>
      <c r="I120" s="249">
        <f t="shared" si="44"/>
        <v>0</v>
      </c>
    </row>
    <row r="121" spans="1:13" ht="51" hidden="1" customHeight="1" x14ac:dyDescent="0.25">
      <c r="A121" s="146" t="s">
        <v>65</v>
      </c>
      <c r="B121" s="250">
        <v>303</v>
      </c>
      <c r="C121" s="7" t="s">
        <v>38</v>
      </c>
      <c r="D121" s="7" t="s">
        <v>43</v>
      </c>
      <c r="E121" s="40" t="s">
        <v>223</v>
      </c>
      <c r="F121" s="4">
        <v>200</v>
      </c>
      <c r="G121" s="251">
        <f>G122</f>
        <v>0</v>
      </c>
      <c r="H121" s="251">
        <f t="shared" si="44"/>
        <v>0</v>
      </c>
      <c r="I121" s="251">
        <f t="shared" si="44"/>
        <v>0</v>
      </c>
    </row>
    <row r="122" spans="1:13" ht="51" hidden="1" customHeight="1" x14ac:dyDescent="0.25">
      <c r="A122" s="146" t="s">
        <v>28</v>
      </c>
      <c r="B122" s="250">
        <v>303</v>
      </c>
      <c r="C122" s="7" t="s">
        <v>38</v>
      </c>
      <c r="D122" s="7" t="s">
        <v>43</v>
      </c>
      <c r="E122" s="40" t="s">
        <v>223</v>
      </c>
      <c r="F122" s="4">
        <v>240</v>
      </c>
      <c r="G122" s="251">
        <v>0</v>
      </c>
      <c r="H122" s="251">
        <f>0</f>
        <v>0</v>
      </c>
      <c r="I122" s="251">
        <f>0</f>
        <v>0</v>
      </c>
    </row>
    <row r="123" spans="1:13" ht="54" hidden="1" customHeight="1" x14ac:dyDescent="0.25">
      <c r="A123" s="144" t="s">
        <v>233</v>
      </c>
      <c r="B123" s="247">
        <v>303</v>
      </c>
      <c r="C123" s="6" t="s">
        <v>38</v>
      </c>
      <c r="D123" s="6" t="s">
        <v>43</v>
      </c>
      <c r="E123" s="269" t="s">
        <v>234</v>
      </c>
      <c r="F123" s="248"/>
      <c r="G123" s="252">
        <f>G124</f>
        <v>0</v>
      </c>
      <c r="H123" s="249">
        <f t="shared" si="44"/>
        <v>0</v>
      </c>
      <c r="I123" s="249">
        <f t="shared" si="44"/>
        <v>0</v>
      </c>
    </row>
    <row r="124" spans="1:13" ht="51" hidden="1" customHeight="1" x14ac:dyDescent="0.25">
      <c r="A124" s="146" t="s">
        <v>65</v>
      </c>
      <c r="B124" s="250">
        <v>303</v>
      </c>
      <c r="C124" s="7" t="s">
        <v>38</v>
      </c>
      <c r="D124" s="7" t="s">
        <v>43</v>
      </c>
      <c r="E124" s="40" t="s">
        <v>234</v>
      </c>
      <c r="F124" s="4">
        <v>200</v>
      </c>
      <c r="G124" s="251">
        <f>G125</f>
        <v>0</v>
      </c>
      <c r="H124" s="251">
        <f t="shared" si="44"/>
        <v>0</v>
      </c>
      <c r="I124" s="251">
        <f t="shared" si="44"/>
        <v>0</v>
      </c>
    </row>
    <row r="125" spans="1:13" ht="51" hidden="1" customHeight="1" x14ac:dyDescent="0.25">
      <c r="A125" s="146" t="s">
        <v>28</v>
      </c>
      <c r="B125" s="250">
        <v>303</v>
      </c>
      <c r="C125" s="7" t="s">
        <v>38</v>
      </c>
      <c r="D125" s="7" t="s">
        <v>43</v>
      </c>
      <c r="E125" s="40" t="s">
        <v>234</v>
      </c>
      <c r="F125" s="4">
        <v>240</v>
      </c>
      <c r="G125" s="251">
        <v>0</v>
      </c>
      <c r="H125" s="251">
        <f>0</f>
        <v>0</v>
      </c>
      <c r="I125" s="251">
        <f>0</f>
        <v>0</v>
      </c>
    </row>
    <row r="126" spans="1:13" ht="31.15" customHeight="1" x14ac:dyDescent="0.25">
      <c r="A126" s="272" t="s">
        <v>245</v>
      </c>
      <c r="B126" s="270">
        <v>303</v>
      </c>
      <c r="C126" s="6" t="s">
        <v>38</v>
      </c>
      <c r="D126" s="6" t="s">
        <v>43</v>
      </c>
      <c r="E126" s="172" t="s">
        <v>244</v>
      </c>
      <c r="F126" s="4"/>
      <c r="G126" s="252">
        <f>G127</f>
        <v>200000</v>
      </c>
      <c r="H126" s="252">
        <f t="shared" ref="H126:I126" si="45">H127</f>
        <v>0</v>
      </c>
      <c r="I126" s="252">
        <f t="shared" si="45"/>
        <v>0</v>
      </c>
    </row>
    <row r="127" spans="1:13" s="199" customFormat="1" ht="39" customHeight="1" x14ac:dyDescent="0.25">
      <c r="A127" s="272" t="s">
        <v>240</v>
      </c>
      <c r="B127" s="270">
        <v>303</v>
      </c>
      <c r="C127" s="6" t="s">
        <v>38</v>
      </c>
      <c r="D127" s="6" t="s">
        <v>43</v>
      </c>
      <c r="E127" s="172" t="s">
        <v>239</v>
      </c>
      <c r="F127" s="108"/>
      <c r="G127" s="150">
        <f>G134+G137+G131+G128</f>
        <v>200000</v>
      </c>
      <c r="H127" s="150">
        <f t="shared" ref="H127:I127" si="46">H134+H137+H131+H128</f>
        <v>0</v>
      </c>
      <c r="I127" s="150">
        <f t="shared" si="46"/>
        <v>0</v>
      </c>
    </row>
    <row r="128" spans="1:13" s="199" customFormat="1" ht="64.900000000000006" customHeight="1" x14ac:dyDescent="0.25">
      <c r="A128" s="273" t="s">
        <v>287</v>
      </c>
      <c r="B128" s="303">
        <v>303</v>
      </c>
      <c r="C128" s="6" t="s">
        <v>38</v>
      </c>
      <c r="D128" s="6" t="s">
        <v>43</v>
      </c>
      <c r="E128" s="172" t="s">
        <v>286</v>
      </c>
      <c r="F128" s="172"/>
      <c r="G128" s="150">
        <f>G129</f>
        <v>200000</v>
      </c>
      <c r="H128" s="150">
        <f t="shared" ref="H128:I129" si="47">H129</f>
        <v>0</v>
      </c>
      <c r="I128" s="150">
        <f t="shared" si="47"/>
        <v>0</v>
      </c>
    </row>
    <row r="129" spans="1:9" s="199" customFormat="1" ht="39" customHeight="1" x14ac:dyDescent="0.25">
      <c r="A129" s="274" t="s">
        <v>65</v>
      </c>
      <c r="B129" s="143">
        <v>303</v>
      </c>
      <c r="C129" s="7" t="s">
        <v>38</v>
      </c>
      <c r="D129" s="7" t="s">
        <v>43</v>
      </c>
      <c r="E129" s="108" t="s">
        <v>286</v>
      </c>
      <c r="F129" s="108">
        <v>200</v>
      </c>
      <c r="G129" s="302">
        <f>G130</f>
        <v>200000</v>
      </c>
      <c r="H129" s="302">
        <f t="shared" si="47"/>
        <v>0</v>
      </c>
      <c r="I129" s="302">
        <f t="shared" si="47"/>
        <v>0</v>
      </c>
    </row>
    <row r="130" spans="1:9" s="199" customFormat="1" ht="60" customHeight="1" x14ac:dyDescent="0.25">
      <c r="A130" s="274" t="s">
        <v>28</v>
      </c>
      <c r="B130" s="143">
        <v>303</v>
      </c>
      <c r="C130" s="7" t="s">
        <v>38</v>
      </c>
      <c r="D130" s="7" t="s">
        <v>43</v>
      </c>
      <c r="E130" s="108" t="s">
        <v>286</v>
      </c>
      <c r="F130" s="108">
        <v>240</v>
      </c>
      <c r="G130" s="302">
        <f>25000+15000+150000+10000</f>
        <v>200000</v>
      </c>
      <c r="H130" s="302">
        <v>0</v>
      </c>
      <c r="I130" s="302">
        <v>0</v>
      </c>
    </row>
    <row r="131" spans="1:9" s="199" customFormat="1" ht="142.15" hidden="1" customHeight="1" x14ac:dyDescent="0.25">
      <c r="A131" s="273" t="s">
        <v>249</v>
      </c>
      <c r="B131" s="278">
        <v>303</v>
      </c>
      <c r="C131" s="6" t="s">
        <v>38</v>
      </c>
      <c r="D131" s="6" t="s">
        <v>43</v>
      </c>
      <c r="E131" s="172" t="s">
        <v>248</v>
      </c>
      <c r="F131" s="172"/>
      <c r="G131" s="135">
        <f>G132</f>
        <v>0</v>
      </c>
      <c r="H131" s="135">
        <f t="shared" ref="H131:I132" si="48">H132</f>
        <v>0</v>
      </c>
      <c r="I131" s="135">
        <f t="shared" si="48"/>
        <v>0</v>
      </c>
    </row>
    <row r="132" spans="1:9" s="199" customFormat="1" ht="31.5" hidden="1" x14ac:dyDescent="0.25">
      <c r="A132" s="274" t="s">
        <v>65</v>
      </c>
      <c r="B132" s="143">
        <v>303</v>
      </c>
      <c r="C132" s="7" t="s">
        <v>38</v>
      </c>
      <c r="D132" s="7" t="s">
        <v>43</v>
      </c>
      <c r="E132" s="108" t="s">
        <v>248</v>
      </c>
      <c r="F132" s="108">
        <v>200</v>
      </c>
      <c r="G132" s="136">
        <f>G133</f>
        <v>0</v>
      </c>
      <c r="H132" s="136">
        <f t="shared" si="48"/>
        <v>0</v>
      </c>
      <c r="I132" s="136">
        <f t="shared" si="48"/>
        <v>0</v>
      </c>
    </row>
    <row r="133" spans="1:9" s="199" customFormat="1" ht="47.25" hidden="1" x14ac:dyDescent="0.25">
      <c r="A133" s="274" t="s">
        <v>28</v>
      </c>
      <c r="B133" s="143">
        <v>303</v>
      </c>
      <c r="C133" s="7" t="s">
        <v>38</v>
      </c>
      <c r="D133" s="7" t="s">
        <v>43</v>
      </c>
      <c r="E133" s="108" t="s">
        <v>248</v>
      </c>
      <c r="F133" s="108">
        <v>240</v>
      </c>
      <c r="G133" s="136">
        <v>0</v>
      </c>
      <c r="H133" s="136">
        <v>0</v>
      </c>
      <c r="I133" s="136">
        <v>0</v>
      </c>
    </row>
    <row r="134" spans="1:9" s="199" customFormat="1" ht="47.25" hidden="1" x14ac:dyDescent="0.25">
      <c r="A134" s="273" t="s">
        <v>241</v>
      </c>
      <c r="B134" s="270">
        <v>303</v>
      </c>
      <c r="C134" s="6" t="s">
        <v>38</v>
      </c>
      <c r="D134" s="6" t="s">
        <v>43</v>
      </c>
      <c r="E134" s="172" t="s">
        <v>238</v>
      </c>
      <c r="F134" s="172"/>
      <c r="G134" s="135">
        <f>G135</f>
        <v>0</v>
      </c>
      <c r="H134" s="135">
        <f t="shared" ref="H134:I134" si="49">H135</f>
        <v>0</v>
      </c>
      <c r="I134" s="135">
        <f t="shared" si="49"/>
        <v>0</v>
      </c>
    </row>
    <row r="135" spans="1:9" s="199" customFormat="1" ht="31.5" hidden="1" x14ac:dyDescent="0.25">
      <c r="A135" s="274" t="s">
        <v>65</v>
      </c>
      <c r="B135" s="143">
        <v>303</v>
      </c>
      <c r="C135" s="7" t="s">
        <v>38</v>
      </c>
      <c r="D135" s="7" t="s">
        <v>43</v>
      </c>
      <c r="E135" s="108" t="s">
        <v>238</v>
      </c>
      <c r="F135" s="108">
        <v>200</v>
      </c>
      <c r="G135" s="136">
        <f>G136</f>
        <v>0</v>
      </c>
      <c r="H135" s="136">
        <f t="shared" ref="H135:I135" si="50">H136</f>
        <v>0</v>
      </c>
      <c r="I135" s="136">
        <f t="shared" si="50"/>
        <v>0</v>
      </c>
    </row>
    <row r="136" spans="1:9" s="199" customFormat="1" ht="47.25" hidden="1" x14ac:dyDescent="0.25">
      <c r="A136" s="274" t="s">
        <v>28</v>
      </c>
      <c r="B136" s="143">
        <v>303</v>
      </c>
      <c r="C136" s="7" t="s">
        <v>38</v>
      </c>
      <c r="D136" s="7" t="s">
        <v>43</v>
      </c>
      <c r="E136" s="108" t="s">
        <v>238</v>
      </c>
      <c r="F136" s="108">
        <v>240</v>
      </c>
      <c r="G136" s="136">
        <v>0</v>
      </c>
      <c r="H136" s="136">
        <v>0</v>
      </c>
      <c r="I136" s="136">
        <v>0</v>
      </c>
    </row>
    <row r="137" spans="1:9" ht="46.15" hidden="1" customHeight="1" x14ac:dyDescent="0.25">
      <c r="A137" s="273" t="s">
        <v>243</v>
      </c>
      <c r="B137" s="270">
        <v>303</v>
      </c>
      <c r="C137" s="6" t="s">
        <v>38</v>
      </c>
      <c r="D137" s="6" t="s">
        <v>43</v>
      </c>
      <c r="E137" s="172" t="s">
        <v>242</v>
      </c>
      <c r="F137" s="172"/>
      <c r="G137" s="135">
        <f>G138</f>
        <v>0</v>
      </c>
      <c r="H137" s="135">
        <f t="shared" ref="H137:I138" si="51">H138</f>
        <v>0</v>
      </c>
      <c r="I137" s="135">
        <f t="shared" si="51"/>
        <v>0</v>
      </c>
    </row>
    <row r="138" spans="1:9" ht="51" hidden="1" customHeight="1" x14ac:dyDescent="0.25">
      <c r="A138" s="274" t="s">
        <v>65</v>
      </c>
      <c r="B138" s="143">
        <v>303</v>
      </c>
      <c r="C138" s="7" t="s">
        <v>38</v>
      </c>
      <c r="D138" s="7" t="s">
        <v>43</v>
      </c>
      <c r="E138" s="108" t="s">
        <v>242</v>
      </c>
      <c r="F138" s="108">
        <v>200</v>
      </c>
      <c r="G138" s="136">
        <f>G139</f>
        <v>0</v>
      </c>
      <c r="H138" s="136">
        <f t="shared" si="51"/>
        <v>0</v>
      </c>
      <c r="I138" s="136">
        <f t="shared" si="51"/>
        <v>0</v>
      </c>
    </row>
    <row r="139" spans="1:9" ht="51" hidden="1" customHeight="1" x14ac:dyDescent="0.25">
      <c r="A139" s="274" t="s">
        <v>28</v>
      </c>
      <c r="B139" s="143">
        <v>303</v>
      </c>
      <c r="C139" s="7" t="s">
        <v>38</v>
      </c>
      <c r="D139" s="7" t="s">
        <v>43</v>
      </c>
      <c r="E139" s="108" t="s">
        <v>242</v>
      </c>
      <c r="F139" s="108">
        <v>240</v>
      </c>
      <c r="G139" s="136">
        <v>0</v>
      </c>
      <c r="H139" s="136">
        <v>0</v>
      </c>
      <c r="I139" s="136">
        <v>0</v>
      </c>
    </row>
    <row r="140" spans="1:9" ht="25.15" customHeight="1" x14ac:dyDescent="0.25">
      <c r="A140" s="137" t="s">
        <v>9</v>
      </c>
      <c r="B140" s="118">
        <v>303</v>
      </c>
      <c r="C140" s="6" t="s">
        <v>44</v>
      </c>
      <c r="D140" s="6" t="s">
        <v>35</v>
      </c>
      <c r="E140" s="138"/>
      <c r="F140" s="191"/>
      <c r="G140" s="150">
        <f>G141+G162+G177+G209</f>
        <v>10562451.020000001</v>
      </c>
      <c r="H140" s="150">
        <f>H141+H162+H177+H209</f>
        <v>8463644.4399999995</v>
      </c>
      <c r="I140" s="150">
        <f>I141+I162+I177+I209</f>
        <v>7665016.3499999996</v>
      </c>
    </row>
    <row r="141" spans="1:9" ht="18" customHeight="1" x14ac:dyDescent="0.25">
      <c r="A141" s="137" t="s">
        <v>31</v>
      </c>
      <c r="B141" s="118">
        <v>303</v>
      </c>
      <c r="C141" s="6" t="s">
        <v>44</v>
      </c>
      <c r="D141" s="6" t="s">
        <v>33</v>
      </c>
      <c r="E141" s="138"/>
      <c r="F141" s="141"/>
      <c r="G141" s="135">
        <f>G142</f>
        <v>2611178.6900000004</v>
      </c>
      <c r="H141" s="135">
        <f t="shared" ref="H141:I141" si="52">H142</f>
        <v>2794406.9</v>
      </c>
      <c r="I141" s="135">
        <f t="shared" si="52"/>
        <v>2882406.9</v>
      </c>
    </row>
    <row r="142" spans="1:9" ht="35.450000000000003" customHeight="1" x14ac:dyDescent="0.25">
      <c r="A142" s="171" t="s">
        <v>110</v>
      </c>
      <c r="B142" s="118">
        <v>303</v>
      </c>
      <c r="C142" s="6" t="s">
        <v>44</v>
      </c>
      <c r="D142" s="6" t="s">
        <v>33</v>
      </c>
      <c r="E142" s="172" t="s">
        <v>111</v>
      </c>
      <c r="F142" s="105"/>
      <c r="G142" s="150">
        <f>G146+G156+G143</f>
        <v>2611178.6900000004</v>
      </c>
      <c r="H142" s="326">
        <f t="shared" ref="H142:I142" si="53">H146+H156+H143</f>
        <v>2794406.9</v>
      </c>
      <c r="I142" s="326">
        <f t="shared" si="53"/>
        <v>2882406.9</v>
      </c>
    </row>
    <row r="143" spans="1:9" ht="61.15" customHeight="1" x14ac:dyDescent="0.25">
      <c r="A143" s="319" t="s">
        <v>297</v>
      </c>
      <c r="B143" s="323">
        <v>303</v>
      </c>
      <c r="C143" s="316" t="s">
        <v>44</v>
      </c>
      <c r="D143" s="316" t="s">
        <v>33</v>
      </c>
      <c r="E143" s="327" t="s">
        <v>298</v>
      </c>
      <c r="F143" s="320"/>
      <c r="G143" s="326">
        <v>736970.27</v>
      </c>
      <c r="H143" s="326">
        <v>0</v>
      </c>
      <c r="I143" s="326">
        <v>0</v>
      </c>
    </row>
    <row r="144" spans="1:9" ht="44.45" customHeight="1" x14ac:dyDescent="0.25">
      <c r="A144" s="318" t="s">
        <v>65</v>
      </c>
      <c r="B144" s="325">
        <v>303</v>
      </c>
      <c r="C144" s="317" t="s">
        <v>44</v>
      </c>
      <c r="D144" s="317" t="s">
        <v>33</v>
      </c>
      <c r="E144" s="322" t="s">
        <v>299</v>
      </c>
      <c r="F144" s="321">
        <v>200</v>
      </c>
      <c r="G144" s="324">
        <v>736970.27</v>
      </c>
      <c r="H144" s="324">
        <v>0</v>
      </c>
      <c r="I144" s="324">
        <v>0</v>
      </c>
    </row>
    <row r="145" spans="1:9" ht="46.9" customHeight="1" x14ac:dyDescent="0.25">
      <c r="A145" s="318" t="s">
        <v>28</v>
      </c>
      <c r="B145" s="325">
        <v>303</v>
      </c>
      <c r="C145" s="317" t="s">
        <v>44</v>
      </c>
      <c r="D145" s="317" t="s">
        <v>33</v>
      </c>
      <c r="E145" s="322" t="s">
        <v>299</v>
      </c>
      <c r="F145" s="321">
        <v>240</v>
      </c>
      <c r="G145" s="324">
        <v>736970.27</v>
      </c>
      <c r="H145" s="324">
        <v>0</v>
      </c>
      <c r="I145" s="324">
        <v>0</v>
      </c>
    </row>
    <row r="146" spans="1:9" ht="35.450000000000003" customHeight="1" x14ac:dyDescent="0.25">
      <c r="A146" s="171" t="s">
        <v>121</v>
      </c>
      <c r="B146" s="118">
        <v>303</v>
      </c>
      <c r="C146" s="6" t="s">
        <v>44</v>
      </c>
      <c r="D146" s="6" t="s">
        <v>33</v>
      </c>
      <c r="E146" s="172" t="s">
        <v>122</v>
      </c>
      <c r="F146" s="105"/>
      <c r="G146" s="150">
        <f>G147+G153</f>
        <v>1235554.3</v>
      </c>
      <c r="H146" s="150">
        <f>H147+H153</f>
        <v>1766000</v>
      </c>
      <c r="I146" s="150">
        <f t="shared" ref="I146" si="54">I147+I153</f>
        <v>1854000</v>
      </c>
    </row>
    <row r="147" spans="1:9" ht="36" customHeight="1" x14ac:dyDescent="0.25">
      <c r="A147" s="76" t="s">
        <v>123</v>
      </c>
      <c r="B147" s="118">
        <v>303</v>
      </c>
      <c r="C147" s="6" t="s">
        <v>44</v>
      </c>
      <c r="D147" s="6" t="s">
        <v>33</v>
      </c>
      <c r="E147" s="172" t="s">
        <v>124</v>
      </c>
      <c r="F147" s="105"/>
      <c r="G147" s="150">
        <f>G148+G150</f>
        <v>161644.30000000002</v>
      </c>
      <c r="H147" s="150">
        <f t="shared" ref="H147:I147" si="55">H148+H150</f>
        <v>405100</v>
      </c>
      <c r="I147" s="150">
        <f t="shared" si="55"/>
        <v>414000</v>
      </c>
    </row>
    <row r="148" spans="1:9" ht="31.5" x14ac:dyDescent="0.25">
      <c r="A148" s="74" t="s">
        <v>65</v>
      </c>
      <c r="B148" s="143">
        <v>303</v>
      </c>
      <c r="C148" s="7" t="s">
        <v>44</v>
      </c>
      <c r="D148" s="7" t="s">
        <v>33</v>
      </c>
      <c r="E148" s="108" t="s">
        <v>124</v>
      </c>
      <c r="F148" s="106">
        <v>200</v>
      </c>
      <c r="G148" s="136">
        <f>G149</f>
        <v>161644.30000000002</v>
      </c>
      <c r="H148" s="136">
        <f t="shared" ref="H148:I148" si="56">H149</f>
        <v>405100</v>
      </c>
      <c r="I148" s="136">
        <f t="shared" si="56"/>
        <v>414000</v>
      </c>
    </row>
    <row r="149" spans="1:9" ht="47.25" x14ac:dyDescent="0.25">
      <c r="A149" s="74" t="s">
        <v>28</v>
      </c>
      <c r="B149" s="143">
        <v>303</v>
      </c>
      <c r="C149" s="7" t="s">
        <v>44</v>
      </c>
      <c r="D149" s="7" t="s">
        <v>33</v>
      </c>
      <c r="E149" s="108" t="s">
        <v>124</v>
      </c>
      <c r="F149" s="106">
        <v>240</v>
      </c>
      <c r="G149" s="233">
        <f>498100-90000-88296.48-200-150000-7959.22</f>
        <v>161644.30000000002</v>
      </c>
      <c r="H149" s="136">
        <f>1766000-H155</f>
        <v>405100</v>
      </c>
      <c r="I149" s="136">
        <f>1854000-I155</f>
        <v>414000</v>
      </c>
    </row>
    <row r="150" spans="1:9" hidden="1" x14ac:dyDescent="0.25">
      <c r="A150" s="153" t="s">
        <v>14</v>
      </c>
      <c r="B150" s="143">
        <v>303</v>
      </c>
      <c r="C150" s="7" t="s">
        <v>44</v>
      </c>
      <c r="D150" s="7" t="s">
        <v>33</v>
      </c>
      <c r="E150" s="108" t="s">
        <v>124</v>
      </c>
      <c r="F150" s="106">
        <v>800</v>
      </c>
      <c r="G150" s="136">
        <f>G152+G151</f>
        <v>0</v>
      </c>
      <c r="H150" s="136">
        <f t="shared" ref="H150:I150" si="57">H152+H151</f>
        <v>0</v>
      </c>
      <c r="I150" s="136">
        <f t="shared" si="57"/>
        <v>0</v>
      </c>
    </row>
    <row r="151" spans="1:9" hidden="1" x14ac:dyDescent="0.25">
      <c r="A151" s="146" t="s">
        <v>190</v>
      </c>
      <c r="B151" s="143">
        <v>303</v>
      </c>
      <c r="C151" s="7" t="s">
        <v>44</v>
      </c>
      <c r="D151" s="7" t="s">
        <v>33</v>
      </c>
      <c r="E151" s="108" t="s">
        <v>124</v>
      </c>
      <c r="F151" s="106">
        <v>830</v>
      </c>
      <c r="G151" s="136">
        <v>0</v>
      </c>
      <c r="H151" s="136">
        <v>0</v>
      </c>
      <c r="I151" s="136">
        <v>0</v>
      </c>
    </row>
    <row r="152" spans="1:9" hidden="1" x14ac:dyDescent="0.25">
      <c r="A152" s="146" t="s">
        <v>15</v>
      </c>
      <c r="B152" s="143">
        <v>303</v>
      </c>
      <c r="C152" s="7" t="s">
        <v>44</v>
      </c>
      <c r="D152" s="7" t="s">
        <v>33</v>
      </c>
      <c r="E152" s="108" t="s">
        <v>124</v>
      </c>
      <c r="F152" s="106">
        <v>850</v>
      </c>
      <c r="G152" s="136">
        <v>0</v>
      </c>
      <c r="H152" s="136">
        <v>0</v>
      </c>
      <c r="I152" s="136">
        <v>0</v>
      </c>
    </row>
    <row r="153" spans="1:9" ht="51" customHeight="1" x14ac:dyDescent="0.25">
      <c r="A153" s="76" t="s">
        <v>127</v>
      </c>
      <c r="B153" s="118">
        <v>303</v>
      </c>
      <c r="C153" s="6" t="s">
        <v>44</v>
      </c>
      <c r="D153" s="6" t="s">
        <v>33</v>
      </c>
      <c r="E153" s="172" t="s">
        <v>129</v>
      </c>
      <c r="F153" s="105"/>
      <c r="G153" s="150">
        <f>G154</f>
        <v>1073910</v>
      </c>
      <c r="H153" s="150">
        <f t="shared" ref="H153:I154" si="58">H154</f>
        <v>1360900</v>
      </c>
      <c r="I153" s="150">
        <f t="shared" si="58"/>
        <v>1440000</v>
      </c>
    </row>
    <row r="154" spans="1:9" ht="31.5" x14ac:dyDescent="0.25">
      <c r="A154" s="74" t="s">
        <v>65</v>
      </c>
      <c r="B154" s="143">
        <v>303</v>
      </c>
      <c r="C154" s="7" t="s">
        <v>44</v>
      </c>
      <c r="D154" s="7" t="s">
        <v>33</v>
      </c>
      <c r="E154" s="108" t="s">
        <v>129</v>
      </c>
      <c r="F154" s="106">
        <v>200</v>
      </c>
      <c r="G154" s="136">
        <f>G155</f>
        <v>1073910</v>
      </c>
      <c r="H154" s="136">
        <f t="shared" si="58"/>
        <v>1360900</v>
      </c>
      <c r="I154" s="136">
        <f t="shared" si="58"/>
        <v>1440000</v>
      </c>
    </row>
    <row r="155" spans="1:9" ht="47.25" x14ac:dyDescent="0.25">
      <c r="A155" s="74" t="s">
        <v>28</v>
      </c>
      <c r="B155" s="143">
        <v>303</v>
      </c>
      <c r="C155" s="7" t="s">
        <v>44</v>
      </c>
      <c r="D155" s="7" t="s">
        <v>33</v>
      </c>
      <c r="E155" s="108" t="s">
        <v>129</v>
      </c>
      <c r="F155" s="106">
        <v>240</v>
      </c>
      <c r="G155" s="179">
        <f>1183900+90000-202300+2310</f>
        <v>1073910</v>
      </c>
      <c r="H155" s="179">
        <f>1270900+90000</f>
        <v>1360900</v>
      </c>
      <c r="I155" s="179">
        <f>1350000+90000</f>
        <v>1440000</v>
      </c>
    </row>
    <row r="156" spans="1:9" ht="57.6" customHeight="1" x14ac:dyDescent="0.25">
      <c r="A156" s="124" t="s">
        <v>132</v>
      </c>
      <c r="B156" s="164">
        <v>303</v>
      </c>
      <c r="C156" s="125" t="s">
        <v>44</v>
      </c>
      <c r="D156" s="125" t="s">
        <v>33</v>
      </c>
      <c r="E156" s="113" t="s">
        <v>133</v>
      </c>
      <c r="F156" s="114"/>
      <c r="G156" s="166">
        <f>G157</f>
        <v>638654.12000000011</v>
      </c>
      <c r="H156" s="166">
        <f t="shared" ref="H156:I160" si="59">H157</f>
        <v>1028406.9</v>
      </c>
      <c r="I156" s="166">
        <f t="shared" si="59"/>
        <v>1028406.9</v>
      </c>
    </row>
    <row r="157" spans="1:9" ht="141.75" x14ac:dyDescent="0.25">
      <c r="A157" s="163" t="s">
        <v>77</v>
      </c>
      <c r="B157" s="164">
        <v>303</v>
      </c>
      <c r="C157" s="125" t="s">
        <v>44</v>
      </c>
      <c r="D157" s="125" t="s">
        <v>33</v>
      </c>
      <c r="E157" s="113" t="s">
        <v>134</v>
      </c>
      <c r="F157" s="113"/>
      <c r="G157" s="180">
        <f>G158+G160</f>
        <v>638654.12000000011</v>
      </c>
      <c r="H157" s="180">
        <f t="shared" ref="H157:I157" si="60">H158+H160</f>
        <v>1028406.9</v>
      </c>
      <c r="I157" s="180">
        <f t="shared" si="60"/>
        <v>1028406.9</v>
      </c>
    </row>
    <row r="158" spans="1:9" ht="31.5" x14ac:dyDescent="0.25">
      <c r="A158" s="126" t="s">
        <v>65</v>
      </c>
      <c r="B158" s="168">
        <v>303</v>
      </c>
      <c r="C158" s="127" t="s">
        <v>44</v>
      </c>
      <c r="D158" s="127" t="s">
        <v>33</v>
      </c>
      <c r="E158" s="114" t="s">
        <v>134</v>
      </c>
      <c r="F158" s="114">
        <v>200</v>
      </c>
      <c r="G158" s="181">
        <f>G159</f>
        <v>638654.12000000011</v>
      </c>
      <c r="H158" s="181">
        <f t="shared" si="59"/>
        <v>1028406.9</v>
      </c>
      <c r="I158" s="181">
        <f t="shared" si="59"/>
        <v>1028406.9</v>
      </c>
    </row>
    <row r="159" spans="1:9" ht="47.25" x14ac:dyDescent="0.25">
      <c r="A159" s="126" t="s">
        <v>28</v>
      </c>
      <c r="B159" s="168">
        <v>303</v>
      </c>
      <c r="C159" s="127" t="s">
        <v>44</v>
      </c>
      <c r="D159" s="127" t="s">
        <v>33</v>
      </c>
      <c r="E159" s="114" t="s">
        <v>134</v>
      </c>
      <c r="F159" s="114">
        <v>240</v>
      </c>
      <c r="G159" s="181">
        <f>1028406.9-591502.64+209458.8-7708.94</f>
        <v>638654.12000000011</v>
      </c>
      <c r="H159" s="181">
        <f>1028406.9</f>
        <v>1028406.9</v>
      </c>
      <c r="I159" s="181">
        <f>1028406.9</f>
        <v>1028406.9</v>
      </c>
    </row>
    <row r="160" spans="1:9" hidden="1" x14ac:dyDescent="0.25">
      <c r="A160" s="126" t="s">
        <v>14</v>
      </c>
      <c r="B160" s="168">
        <v>303</v>
      </c>
      <c r="C160" s="127" t="s">
        <v>44</v>
      </c>
      <c r="D160" s="127" t="s">
        <v>33</v>
      </c>
      <c r="E160" s="114" t="s">
        <v>134</v>
      </c>
      <c r="F160" s="114">
        <v>800</v>
      </c>
      <c r="G160" s="181">
        <f>G161</f>
        <v>0</v>
      </c>
      <c r="H160" s="181">
        <f t="shared" si="59"/>
        <v>0</v>
      </c>
      <c r="I160" s="181">
        <f t="shared" si="59"/>
        <v>0</v>
      </c>
    </row>
    <row r="161" spans="1:11" hidden="1" x14ac:dyDescent="0.25">
      <c r="A161" s="126" t="s">
        <v>190</v>
      </c>
      <c r="B161" s="168">
        <v>303</v>
      </c>
      <c r="C161" s="127" t="s">
        <v>44</v>
      </c>
      <c r="D161" s="127" t="s">
        <v>33</v>
      </c>
      <c r="E161" s="114" t="s">
        <v>134</v>
      </c>
      <c r="F161" s="114">
        <v>830</v>
      </c>
      <c r="G161" s="181">
        <v>0</v>
      </c>
      <c r="H161" s="181">
        <v>0</v>
      </c>
      <c r="I161" s="181">
        <v>0</v>
      </c>
    </row>
    <row r="162" spans="1:11" ht="21.4" customHeight="1" x14ac:dyDescent="0.25">
      <c r="A162" s="137" t="s">
        <v>10</v>
      </c>
      <c r="B162" s="118">
        <v>303</v>
      </c>
      <c r="C162" s="6" t="s">
        <v>44</v>
      </c>
      <c r="D162" s="6" t="s">
        <v>36</v>
      </c>
      <c r="E162" s="138"/>
      <c r="F162" s="141"/>
      <c r="G162" s="135">
        <f>G163</f>
        <v>871817.64000000013</v>
      </c>
      <c r="H162" s="135">
        <f t="shared" ref="H162:I162" si="61">H163</f>
        <v>358200</v>
      </c>
      <c r="I162" s="135">
        <f t="shared" si="61"/>
        <v>358200</v>
      </c>
    </row>
    <row r="163" spans="1:11" ht="36.6" customHeight="1" x14ac:dyDescent="0.25">
      <c r="A163" s="171" t="s">
        <v>110</v>
      </c>
      <c r="B163" s="118">
        <v>303</v>
      </c>
      <c r="C163" s="6" t="s">
        <v>44</v>
      </c>
      <c r="D163" s="6" t="s">
        <v>36</v>
      </c>
      <c r="E163" s="172" t="s">
        <v>111</v>
      </c>
      <c r="F163" s="141"/>
      <c r="G163" s="135">
        <f>G167+G173+G164</f>
        <v>871817.64000000013</v>
      </c>
      <c r="H163" s="135">
        <f t="shared" ref="H163:I163" si="62">H167+H173+H164</f>
        <v>358200</v>
      </c>
      <c r="I163" s="135">
        <f t="shared" si="62"/>
        <v>358200</v>
      </c>
    </row>
    <row r="164" spans="1:11" ht="37.15" customHeight="1" x14ac:dyDescent="0.25">
      <c r="A164" s="76" t="s">
        <v>293</v>
      </c>
      <c r="B164" s="306">
        <v>303</v>
      </c>
      <c r="C164" s="6" t="s">
        <v>44</v>
      </c>
      <c r="D164" s="6" t="s">
        <v>36</v>
      </c>
      <c r="E164" s="172" t="s">
        <v>294</v>
      </c>
      <c r="F164" s="105"/>
      <c r="G164" s="150">
        <f>G165</f>
        <v>209458.8</v>
      </c>
      <c r="H164" s="150">
        <f t="shared" ref="H164:I164" si="63">H165</f>
        <v>0</v>
      </c>
      <c r="I164" s="150">
        <f t="shared" si="63"/>
        <v>0</v>
      </c>
    </row>
    <row r="165" spans="1:11" ht="31.5" x14ac:dyDescent="0.25">
      <c r="A165" s="74" t="s">
        <v>65</v>
      </c>
      <c r="B165" s="143">
        <v>303</v>
      </c>
      <c r="C165" s="7" t="s">
        <v>44</v>
      </c>
      <c r="D165" s="7" t="s">
        <v>36</v>
      </c>
      <c r="E165" s="108" t="s">
        <v>294</v>
      </c>
      <c r="F165" s="106">
        <v>200</v>
      </c>
      <c r="G165" s="136">
        <f>G166</f>
        <v>209458.8</v>
      </c>
      <c r="H165" s="136">
        <f t="shared" ref="H165:I165" si="64">H166</f>
        <v>0</v>
      </c>
      <c r="I165" s="136">
        <f t="shared" si="64"/>
        <v>0</v>
      </c>
    </row>
    <row r="166" spans="1:11" ht="47.25" x14ac:dyDescent="0.25">
      <c r="A166" s="74" t="s">
        <v>28</v>
      </c>
      <c r="B166" s="143">
        <v>303</v>
      </c>
      <c r="C166" s="7" t="s">
        <v>44</v>
      </c>
      <c r="D166" s="7" t="s">
        <v>36</v>
      </c>
      <c r="E166" s="108" t="s">
        <v>294</v>
      </c>
      <c r="F166" s="106">
        <v>240</v>
      </c>
      <c r="G166" s="136">
        <f>209458.8</f>
        <v>209458.8</v>
      </c>
      <c r="H166" s="136">
        <v>0</v>
      </c>
      <c r="I166" s="136">
        <v>0</v>
      </c>
      <c r="K166" s="140" t="s">
        <v>158</v>
      </c>
    </row>
    <row r="167" spans="1:11" ht="31.9" customHeight="1" x14ac:dyDescent="0.25">
      <c r="A167" s="171" t="s">
        <v>121</v>
      </c>
      <c r="B167" s="118">
        <v>303</v>
      </c>
      <c r="C167" s="6" t="s">
        <v>44</v>
      </c>
      <c r="D167" s="6" t="s">
        <v>36</v>
      </c>
      <c r="E167" s="172" t="s">
        <v>122</v>
      </c>
      <c r="F167" s="139"/>
      <c r="G167" s="135">
        <f>G168</f>
        <v>325315</v>
      </c>
      <c r="H167" s="135">
        <f t="shared" ref="H167:I167" si="65">H168</f>
        <v>358200</v>
      </c>
      <c r="I167" s="135">
        <f t="shared" si="65"/>
        <v>358200</v>
      </c>
    </row>
    <row r="168" spans="1:11" ht="37.15" customHeight="1" x14ac:dyDescent="0.25">
      <c r="A168" s="76" t="s">
        <v>125</v>
      </c>
      <c r="B168" s="118">
        <v>303</v>
      </c>
      <c r="C168" s="6" t="s">
        <v>44</v>
      </c>
      <c r="D168" s="6" t="s">
        <v>36</v>
      </c>
      <c r="E168" s="172" t="s">
        <v>126</v>
      </c>
      <c r="F168" s="105"/>
      <c r="G168" s="150">
        <f>G169+G171</f>
        <v>325315</v>
      </c>
      <c r="H168" s="150">
        <f t="shared" ref="H168:I168" si="66">H169+H171</f>
        <v>358200</v>
      </c>
      <c r="I168" s="150">
        <f t="shared" si="66"/>
        <v>358200</v>
      </c>
    </row>
    <row r="169" spans="1:11" ht="31.5" x14ac:dyDescent="0.25">
      <c r="A169" s="74" t="s">
        <v>65</v>
      </c>
      <c r="B169" s="143">
        <v>303</v>
      </c>
      <c r="C169" s="7" t="s">
        <v>44</v>
      </c>
      <c r="D169" s="7" t="s">
        <v>36</v>
      </c>
      <c r="E169" s="108" t="s">
        <v>126</v>
      </c>
      <c r="F169" s="106">
        <v>200</v>
      </c>
      <c r="G169" s="136">
        <f>G170</f>
        <v>325315</v>
      </c>
      <c r="H169" s="136">
        <f t="shared" ref="H169:I171" si="67">H170</f>
        <v>358200</v>
      </c>
      <c r="I169" s="136">
        <f t="shared" si="67"/>
        <v>358200</v>
      </c>
    </row>
    <row r="170" spans="1:11" ht="47.25" x14ac:dyDescent="0.25">
      <c r="A170" s="74" t="s">
        <v>28</v>
      </c>
      <c r="B170" s="143">
        <v>303</v>
      </c>
      <c r="C170" s="7" t="s">
        <v>44</v>
      </c>
      <c r="D170" s="7" t="s">
        <v>36</v>
      </c>
      <c r="E170" s="108" t="s">
        <v>126</v>
      </c>
      <c r="F170" s="106">
        <v>240</v>
      </c>
      <c r="G170" s="136">
        <f>358200+122500-155385</f>
        <v>325315</v>
      </c>
      <c r="H170" s="136">
        <f t="shared" ref="H170:I170" si="68">358200</f>
        <v>358200</v>
      </c>
      <c r="I170" s="136">
        <f t="shared" si="68"/>
        <v>358200</v>
      </c>
      <c r="K170" s="140" t="s">
        <v>158</v>
      </c>
    </row>
    <row r="171" spans="1:11" hidden="1" x14ac:dyDescent="0.25">
      <c r="A171" s="153" t="s">
        <v>14</v>
      </c>
      <c r="B171" s="143">
        <v>303</v>
      </c>
      <c r="C171" s="7" t="s">
        <v>44</v>
      </c>
      <c r="D171" s="7" t="s">
        <v>36</v>
      </c>
      <c r="E171" s="108" t="s">
        <v>126</v>
      </c>
      <c r="F171" s="106">
        <v>800</v>
      </c>
      <c r="G171" s="136">
        <f>G172</f>
        <v>0</v>
      </c>
      <c r="H171" s="136">
        <f t="shared" si="67"/>
        <v>0</v>
      </c>
      <c r="I171" s="136">
        <f t="shared" si="67"/>
        <v>0</v>
      </c>
    </row>
    <row r="172" spans="1:11" hidden="1" x14ac:dyDescent="0.25">
      <c r="A172" s="146" t="s">
        <v>15</v>
      </c>
      <c r="B172" s="143">
        <v>303</v>
      </c>
      <c r="C172" s="7" t="s">
        <v>44</v>
      </c>
      <c r="D172" s="7" t="s">
        <v>36</v>
      </c>
      <c r="E172" s="108" t="s">
        <v>126</v>
      </c>
      <c r="F172" s="106">
        <v>850</v>
      </c>
      <c r="G172" s="136">
        <v>0</v>
      </c>
      <c r="H172" s="136">
        <v>0</v>
      </c>
      <c r="I172" s="136">
        <v>0</v>
      </c>
      <c r="K172" s="140" t="s">
        <v>158</v>
      </c>
    </row>
    <row r="173" spans="1:11" ht="47.25" x14ac:dyDescent="0.25">
      <c r="A173" s="76" t="s">
        <v>132</v>
      </c>
      <c r="B173" s="118">
        <v>303</v>
      </c>
      <c r="C173" s="6" t="s">
        <v>44</v>
      </c>
      <c r="D173" s="6" t="s">
        <v>36</v>
      </c>
      <c r="E173" s="172" t="s">
        <v>133</v>
      </c>
      <c r="F173" s="105"/>
      <c r="G173" s="135">
        <f>G174</f>
        <v>337043.84</v>
      </c>
      <c r="H173" s="135">
        <f t="shared" ref="H173:I175" si="69">H174</f>
        <v>0</v>
      </c>
      <c r="I173" s="135">
        <f t="shared" si="69"/>
        <v>0</v>
      </c>
    </row>
    <row r="174" spans="1:11" ht="141.75" x14ac:dyDescent="0.25">
      <c r="A174" s="163" t="s">
        <v>77</v>
      </c>
      <c r="B174" s="164">
        <v>303</v>
      </c>
      <c r="C174" s="125" t="s">
        <v>44</v>
      </c>
      <c r="D174" s="125" t="s">
        <v>36</v>
      </c>
      <c r="E174" s="113" t="s">
        <v>134</v>
      </c>
      <c r="F174" s="113"/>
      <c r="G174" s="180">
        <f>G175</f>
        <v>337043.84</v>
      </c>
      <c r="H174" s="180">
        <f t="shared" si="69"/>
        <v>0</v>
      </c>
      <c r="I174" s="180">
        <f t="shared" si="69"/>
        <v>0</v>
      </c>
    </row>
    <row r="175" spans="1:11" ht="31.5" x14ac:dyDescent="0.25">
      <c r="A175" s="126" t="s">
        <v>65</v>
      </c>
      <c r="B175" s="168">
        <v>303</v>
      </c>
      <c r="C175" s="127" t="s">
        <v>44</v>
      </c>
      <c r="D175" s="127" t="s">
        <v>36</v>
      </c>
      <c r="E175" s="114" t="s">
        <v>134</v>
      </c>
      <c r="F175" s="114">
        <v>200</v>
      </c>
      <c r="G175" s="181">
        <f>G176</f>
        <v>337043.84</v>
      </c>
      <c r="H175" s="181">
        <f t="shared" si="69"/>
        <v>0</v>
      </c>
      <c r="I175" s="181">
        <f t="shared" si="69"/>
        <v>0</v>
      </c>
    </row>
    <row r="176" spans="1:11" ht="47.25" x14ac:dyDescent="0.25">
      <c r="A176" s="126" t="s">
        <v>28</v>
      </c>
      <c r="B176" s="168">
        <v>303</v>
      </c>
      <c r="C176" s="127" t="s">
        <v>44</v>
      </c>
      <c r="D176" s="127" t="s">
        <v>36</v>
      </c>
      <c r="E176" s="114" t="s">
        <v>134</v>
      </c>
      <c r="F176" s="114">
        <v>240</v>
      </c>
      <c r="G176" s="181">
        <f>536502.64-209458.8+10000</f>
        <v>337043.84</v>
      </c>
      <c r="H176" s="181">
        <v>0</v>
      </c>
      <c r="I176" s="181">
        <v>0</v>
      </c>
    </row>
    <row r="177" spans="1:15" ht="18.399999999999999" customHeight="1" x14ac:dyDescent="0.25">
      <c r="A177" s="137" t="s">
        <v>11</v>
      </c>
      <c r="B177" s="118">
        <v>303</v>
      </c>
      <c r="C177" s="6" t="s">
        <v>44</v>
      </c>
      <c r="D177" s="6" t="s">
        <v>37</v>
      </c>
      <c r="E177" s="138"/>
      <c r="F177" s="139"/>
      <c r="G177" s="135">
        <f>G178+G185+G189+G199</f>
        <v>2529382.21</v>
      </c>
      <c r="H177" s="135">
        <f>H178+H185+H189+H199</f>
        <v>1415707.54</v>
      </c>
      <c r="I177" s="135">
        <f>I178+I185+I189+I199</f>
        <v>680231</v>
      </c>
    </row>
    <row r="178" spans="1:15" ht="78.75" x14ac:dyDescent="0.25">
      <c r="A178" s="137" t="s">
        <v>73</v>
      </c>
      <c r="B178" s="118">
        <v>303</v>
      </c>
      <c r="C178" s="6" t="s">
        <v>44</v>
      </c>
      <c r="D178" s="6" t="s">
        <v>37</v>
      </c>
      <c r="E178" s="105" t="s">
        <v>74</v>
      </c>
      <c r="F178" s="139"/>
      <c r="G178" s="135">
        <f>G179+G182</f>
        <v>1329563.94</v>
      </c>
      <c r="H178" s="135">
        <f t="shared" ref="H178:I178" si="70">H179+H182</f>
        <v>778590</v>
      </c>
      <c r="I178" s="135">
        <f t="shared" si="70"/>
        <v>640231</v>
      </c>
    </row>
    <row r="179" spans="1:15" ht="33" customHeight="1" x14ac:dyDescent="0.25">
      <c r="A179" s="76" t="s">
        <v>75</v>
      </c>
      <c r="B179" s="118">
        <v>303</v>
      </c>
      <c r="C179" s="6" t="s">
        <v>44</v>
      </c>
      <c r="D179" s="6" t="s">
        <v>37</v>
      </c>
      <c r="E179" s="154" t="s">
        <v>76</v>
      </c>
      <c r="F179" s="142"/>
      <c r="G179" s="150">
        <f>G180</f>
        <v>1224355</v>
      </c>
      <c r="H179" s="150">
        <f t="shared" ref="H179:I180" si="71">H180</f>
        <v>726090</v>
      </c>
      <c r="I179" s="150">
        <f t="shared" si="71"/>
        <v>587731</v>
      </c>
    </row>
    <row r="180" spans="1:15" ht="37.9" customHeight="1" x14ac:dyDescent="0.25">
      <c r="A180" s="74" t="s">
        <v>65</v>
      </c>
      <c r="B180" s="143">
        <v>303</v>
      </c>
      <c r="C180" s="7" t="s">
        <v>44</v>
      </c>
      <c r="D180" s="7" t="s">
        <v>37</v>
      </c>
      <c r="E180" s="155" t="s">
        <v>76</v>
      </c>
      <c r="F180" s="142">
        <v>200</v>
      </c>
      <c r="G180" s="133">
        <f>G181</f>
        <v>1224355</v>
      </c>
      <c r="H180" s="133">
        <f t="shared" si="71"/>
        <v>726090</v>
      </c>
      <c r="I180" s="133">
        <f t="shared" si="71"/>
        <v>587731</v>
      </c>
    </row>
    <row r="181" spans="1:15" ht="52.15" customHeight="1" x14ac:dyDescent="0.25">
      <c r="A181" s="74" t="s">
        <v>28</v>
      </c>
      <c r="B181" s="143">
        <v>303</v>
      </c>
      <c r="C181" s="7" t="s">
        <v>44</v>
      </c>
      <c r="D181" s="7" t="s">
        <v>37</v>
      </c>
      <c r="E181" s="155" t="s">
        <v>76</v>
      </c>
      <c r="F181" s="142">
        <v>240</v>
      </c>
      <c r="G181" s="279">
        <f>732000+341315+38000+113040</f>
        <v>1224355</v>
      </c>
      <c r="H181" s="279">
        <f>661280+64810</f>
        <v>726090</v>
      </c>
      <c r="I181" s="279">
        <v>587731</v>
      </c>
    </row>
    <row r="182" spans="1:15" ht="141.75" x14ac:dyDescent="0.25">
      <c r="A182" s="163" t="s">
        <v>77</v>
      </c>
      <c r="B182" s="164">
        <v>303</v>
      </c>
      <c r="C182" s="125" t="s">
        <v>44</v>
      </c>
      <c r="D182" s="125" t="s">
        <v>37</v>
      </c>
      <c r="E182" s="165" t="s">
        <v>78</v>
      </c>
      <c r="F182" s="113"/>
      <c r="G182" s="166">
        <f>G183</f>
        <v>105208.94</v>
      </c>
      <c r="H182" s="166">
        <f t="shared" ref="H182:I183" si="72">H183</f>
        <v>52500</v>
      </c>
      <c r="I182" s="166">
        <f t="shared" si="72"/>
        <v>52500</v>
      </c>
      <c r="J182" s="167"/>
    </row>
    <row r="183" spans="1:15" ht="31.5" x14ac:dyDescent="0.25">
      <c r="A183" s="126" t="s">
        <v>65</v>
      </c>
      <c r="B183" s="168">
        <v>303</v>
      </c>
      <c r="C183" s="127" t="s">
        <v>44</v>
      </c>
      <c r="D183" s="127" t="s">
        <v>37</v>
      </c>
      <c r="E183" s="169" t="s">
        <v>78</v>
      </c>
      <c r="F183" s="114">
        <v>200</v>
      </c>
      <c r="G183" s="170">
        <f>G184</f>
        <v>105208.94</v>
      </c>
      <c r="H183" s="170">
        <f t="shared" si="72"/>
        <v>52500</v>
      </c>
      <c r="I183" s="170">
        <f t="shared" si="72"/>
        <v>52500</v>
      </c>
    </row>
    <row r="184" spans="1:15" ht="47.25" x14ac:dyDescent="0.25">
      <c r="A184" s="126" t="s">
        <v>28</v>
      </c>
      <c r="B184" s="168">
        <v>303</v>
      </c>
      <c r="C184" s="127" t="s">
        <v>44</v>
      </c>
      <c r="D184" s="127" t="s">
        <v>37</v>
      </c>
      <c r="E184" s="169" t="s">
        <v>78</v>
      </c>
      <c r="F184" s="114">
        <v>240</v>
      </c>
      <c r="G184" s="170">
        <f>52500+55000-2291.06</f>
        <v>105208.94</v>
      </c>
      <c r="H184" s="170">
        <f>52500</f>
        <v>52500</v>
      </c>
      <c r="I184" s="170">
        <f>52500</f>
        <v>52500</v>
      </c>
      <c r="K184" s="402" t="s">
        <v>173</v>
      </c>
      <c r="L184" s="402"/>
      <c r="M184" s="402"/>
      <c r="N184" s="402"/>
      <c r="O184" s="402"/>
    </row>
    <row r="185" spans="1:15" ht="78.75" x14ac:dyDescent="0.25">
      <c r="A185" s="76" t="s">
        <v>256</v>
      </c>
      <c r="B185" s="118">
        <v>303</v>
      </c>
      <c r="C185" s="6" t="s">
        <v>44</v>
      </c>
      <c r="D185" s="6" t="s">
        <v>37</v>
      </c>
      <c r="E185" s="105" t="s">
        <v>79</v>
      </c>
      <c r="F185" s="105"/>
      <c r="G185" s="150">
        <f>G186</f>
        <v>100000</v>
      </c>
      <c r="H185" s="150">
        <f t="shared" ref="H185:I187" si="73">H186</f>
        <v>30000</v>
      </c>
      <c r="I185" s="150">
        <f t="shared" si="73"/>
        <v>20000</v>
      </c>
    </row>
    <row r="186" spans="1:15" ht="55.9" customHeight="1" x14ac:dyDescent="0.25">
      <c r="A186" s="76" t="s">
        <v>80</v>
      </c>
      <c r="B186" s="118">
        <v>303</v>
      </c>
      <c r="C186" s="6" t="s">
        <v>44</v>
      </c>
      <c r="D186" s="6" t="s">
        <v>37</v>
      </c>
      <c r="E186" s="154" t="s">
        <v>81</v>
      </c>
      <c r="F186" s="105"/>
      <c r="G186" s="150">
        <f>G187</f>
        <v>100000</v>
      </c>
      <c r="H186" s="150">
        <f t="shared" si="73"/>
        <v>30000</v>
      </c>
      <c r="I186" s="150">
        <f t="shared" si="73"/>
        <v>20000</v>
      </c>
    </row>
    <row r="187" spans="1:15" ht="31.5" x14ac:dyDescent="0.25">
      <c r="A187" s="74" t="s">
        <v>65</v>
      </c>
      <c r="B187" s="143">
        <v>303</v>
      </c>
      <c r="C187" s="7" t="s">
        <v>44</v>
      </c>
      <c r="D187" s="7" t="s">
        <v>37</v>
      </c>
      <c r="E187" s="155" t="s">
        <v>81</v>
      </c>
      <c r="F187" s="106">
        <v>200</v>
      </c>
      <c r="G187" s="133">
        <f>G188</f>
        <v>100000</v>
      </c>
      <c r="H187" s="133">
        <f t="shared" si="73"/>
        <v>30000</v>
      </c>
      <c r="I187" s="133">
        <f t="shared" si="73"/>
        <v>20000</v>
      </c>
    </row>
    <row r="188" spans="1:15" ht="47.25" x14ac:dyDescent="0.25">
      <c r="A188" s="74" t="s">
        <v>28</v>
      </c>
      <c r="B188" s="143">
        <v>303</v>
      </c>
      <c r="C188" s="7" t="s">
        <v>44</v>
      </c>
      <c r="D188" s="7" t="s">
        <v>37</v>
      </c>
      <c r="E188" s="155" t="s">
        <v>81</v>
      </c>
      <c r="F188" s="106">
        <v>240</v>
      </c>
      <c r="G188" s="133">
        <f>100000</f>
        <v>100000</v>
      </c>
      <c r="H188" s="133">
        <f>30000</f>
        <v>30000</v>
      </c>
      <c r="I188" s="133">
        <f>20000</f>
        <v>20000</v>
      </c>
    </row>
    <row r="189" spans="1:15" ht="63" x14ac:dyDescent="0.25">
      <c r="A189" s="115" t="s">
        <v>164</v>
      </c>
      <c r="B189" s="156">
        <v>303</v>
      </c>
      <c r="C189" s="102" t="s">
        <v>44</v>
      </c>
      <c r="D189" s="102" t="s">
        <v>37</v>
      </c>
      <c r="E189" s="157" t="s">
        <v>161</v>
      </c>
      <c r="F189" s="96"/>
      <c r="G189" s="158">
        <f>G190+G193+G196</f>
        <v>965179.27</v>
      </c>
      <c r="H189" s="158">
        <f t="shared" ref="H189:I189" si="74">H190+H193+H196</f>
        <v>568259.89</v>
      </c>
      <c r="I189" s="158">
        <f t="shared" si="74"/>
        <v>0</v>
      </c>
    </row>
    <row r="190" spans="1:15" ht="78.75" x14ac:dyDescent="0.25">
      <c r="A190" s="115" t="s">
        <v>199</v>
      </c>
      <c r="B190" s="156">
        <v>303</v>
      </c>
      <c r="C190" s="102" t="s">
        <v>44</v>
      </c>
      <c r="D190" s="102" t="s">
        <v>37</v>
      </c>
      <c r="E190" s="157" t="s">
        <v>198</v>
      </c>
      <c r="F190" s="96"/>
      <c r="G190" s="158">
        <f>G191</f>
        <v>459000</v>
      </c>
      <c r="H190" s="158">
        <f t="shared" ref="H190:I191" si="75">H191</f>
        <v>0</v>
      </c>
      <c r="I190" s="158">
        <f t="shared" si="75"/>
        <v>0</v>
      </c>
    </row>
    <row r="191" spans="1:15" ht="31.5" x14ac:dyDescent="0.25">
      <c r="A191" s="159" t="s">
        <v>65</v>
      </c>
      <c r="B191" s="160">
        <v>303</v>
      </c>
      <c r="C191" s="99" t="s">
        <v>44</v>
      </c>
      <c r="D191" s="99" t="s">
        <v>37</v>
      </c>
      <c r="E191" s="96" t="s">
        <v>198</v>
      </c>
      <c r="F191" s="96">
        <v>200</v>
      </c>
      <c r="G191" s="161">
        <f>G192</f>
        <v>459000</v>
      </c>
      <c r="H191" s="161">
        <f t="shared" si="75"/>
        <v>0</v>
      </c>
      <c r="I191" s="161">
        <f t="shared" si="75"/>
        <v>0</v>
      </c>
    </row>
    <row r="192" spans="1:15" ht="47.25" x14ac:dyDescent="0.25">
      <c r="A192" s="159" t="s">
        <v>28</v>
      </c>
      <c r="B192" s="160">
        <v>303</v>
      </c>
      <c r="C192" s="99" t="s">
        <v>44</v>
      </c>
      <c r="D192" s="99" t="s">
        <v>37</v>
      </c>
      <c r="E192" s="96" t="s">
        <v>198</v>
      </c>
      <c r="F192" s="96">
        <v>240</v>
      </c>
      <c r="G192" s="161">
        <f>78030+380970</f>
        <v>459000</v>
      </c>
      <c r="H192" s="161">
        <v>0</v>
      </c>
      <c r="I192" s="161">
        <v>0</v>
      </c>
      <c r="K192" s="162">
        <f>715.2</f>
        <v>715.2</v>
      </c>
      <c r="L192" s="162">
        <f>827.4</f>
        <v>827.4</v>
      </c>
    </row>
    <row r="193" spans="1:12" ht="31.5" x14ac:dyDescent="0.25">
      <c r="A193" s="115" t="s">
        <v>166</v>
      </c>
      <c r="B193" s="156">
        <v>303</v>
      </c>
      <c r="C193" s="102" t="s">
        <v>44</v>
      </c>
      <c r="D193" s="102" t="s">
        <v>37</v>
      </c>
      <c r="E193" s="157" t="s">
        <v>203</v>
      </c>
      <c r="F193" s="96"/>
      <c r="G193" s="158">
        <f>G194</f>
        <v>506179.27</v>
      </c>
      <c r="H193" s="158">
        <f t="shared" ref="H193:I194" si="76">H194</f>
        <v>568259.89</v>
      </c>
      <c r="I193" s="158">
        <f t="shared" si="76"/>
        <v>0</v>
      </c>
    </row>
    <row r="194" spans="1:12" ht="31.5" x14ac:dyDescent="0.25">
      <c r="A194" s="159" t="s">
        <v>65</v>
      </c>
      <c r="B194" s="160">
        <v>303</v>
      </c>
      <c r="C194" s="99" t="s">
        <v>44</v>
      </c>
      <c r="D194" s="99" t="s">
        <v>37</v>
      </c>
      <c r="E194" s="96" t="s">
        <v>165</v>
      </c>
      <c r="F194" s="96">
        <v>200</v>
      </c>
      <c r="G194" s="161">
        <f>G195</f>
        <v>506179.27</v>
      </c>
      <c r="H194" s="161">
        <f t="shared" si="76"/>
        <v>568259.89</v>
      </c>
      <c r="I194" s="161">
        <f t="shared" si="76"/>
        <v>0</v>
      </c>
    </row>
    <row r="195" spans="1:12" ht="47.25" x14ac:dyDescent="0.25">
      <c r="A195" s="159" t="s">
        <v>28</v>
      </c>
      <c r="B195" s="160">
        <v>303</v>
      </c>
      <c r="C195" s="99" t="s">
        <v>44</v>
      </c>
      <c r="D195" s="99" t="s">
        <v>37</v>
      </c>
      <c r="E195" s="96" t="s">
        <v>165</v>
      </c>
      <c r="F195" s="96">
        <v>240</v>
      </c>
      <c r="G195" s="161">
        <f>8640+509203.64+1544.07-12949.45-258.99</f>
        <v>506179.27</v>
      </c>
      <c r="H195" s="161">
        <f>557117.54+11142.35</f>
        <v>568259.89</v>
      </c>
      <c r="I195" s="161">
        <v>0</v>
      </c>
      <c r="K195" s="162">
        <f>715.2</f>
        <v>715.2</v>
      </c>
      <c r="L195" s="162">
        <f>827.4</f>
        <v>827.4</v>
      </c>
    </row>
    <row r="196" spans="1:12" s="1" customFormat="1" ht="47.25" hidden="1" x14ac:dyDescent="0.25">
      <c r="A196" s="115" t="s">
        <v>160</v>
      </c>
      <c r="B196" s="253">
        <v>303</v>
      </c>
      <c r="C196" s="102" t="s">
        <v>44</v>
      </c>
      <c r="D196" s="102" t="s">
        <v>37</v>
      </c>
      <c r="E196" s="157" t="s">
        <v>162</v>
      </c>
      <c r="F196" s="96"/>
      <c r="G196" s="256">
        <f>G197</f>
        <v>0</v>
      </c>
      <c r="H196" s="256">
        <f t="shared" ref="H196:I197" si="77">H197</f>
        <v>0</v>
      </c>
      <c r="I196" s="256">
        <f t="shared" si="77"/>
        <v>0</v>
      </c>
    </row>
    <row r="197" spans="1:12" s="1" customFormat="1" ht="31.5" hidden="1" x14ac:dyDescent="0.25">
      <c r="A197" s="159" t="s">
        <v>65</v>
      </c>
      <c r="B197" s="254">
        <v>303</v>
      </c>
      <c r="C197" s="99" t="s">
        <v>44</v>
      </c>
      <c r="D197" s="99" t="s">
        <v>37</v>
      </c>
      <c r="E197" s="96" t="s">
        <v>163</v>
      </c>
      <c r="F197" s="96">
        <v>200</v>
      </c>
      <c r="G197" s="257">
        <f>G198</f>
        <v>0</v>
      </c>
      <c r="H197" s="257">
        <f t="shared" si="77"/>
        <v>0</v>
      </c>
      <c r="I197" s="257">
        <f t="shared" si="77"/>
        <v>0</v>
      </c>
    </row>
    <row r="198" spans="1:12" s="1" customFormat="1" ht="47.25" hidden="1" x14ac:dyDescent="0.25">
      <c r="A198" s="159" t="s">
        <v>28</v>
      </c>
      <c r="B198" s="254">
        <v>303</v>
      </c>
      <c r="C198" s="99" t="s">
        <v>44</v>
      </c>
      <c r="D198" s="99" t="s">
        <v>37</v>
      </c>
      <c r="E198" s="96" t="s">
        <v>163</v>
      </c>
      <c r="F198" s="96">
        <v>240</v>
      </c>
      <c r="G198" s="281">
        <v>0</v>
      </c>
      <c r="H198" s="281">
        <v>0</v>
      </c>
      <c r="I198" s="281">
        <v>0</v>
      </c>
      <c r="K198" s="255">
        <f>715.2</f>
        <v>715.2</v>
      </c>
      <c r="L198" s="255">
        <f>827.4</f>
        <v>827.4</v>
      </c>
    </row>
    <row r="199" spans="1:12" ht="31.5" x14ac:dyDescent="0.25">
      <c r="A199" s="171" t="s">
        <v>110</v>
      </c>
      <c r="B199" s="118">
        <v>303</v>
      </c>
      <c r="C199" s="6" t="s">
        <v>44</v>
      </c>
      <c r="D199" s="6" t="s">
        <v>37</v>
      </c>
      <c r="E199" s="105" t="s">
        <v>167</v>
      </c>
      <c r="F199" s="106"/>
      <c r="G199" s="150">
        <f>G200</f>
        <v>134639</v>
      </c>
      <c r="H199" s="150">
        <f t="shared" ref="H199:I199" si="78">H200</f>
        <v>38857.65</v>
      </c>
      <c r="I199" s="150">
        <f t="shared" si="78"/>
        <v>20000</v>
      </c>
    </row>
    <row r="200" spans="1:12" ht="31.5" x14ac:dyDescent="0.25">
      <c r="A200" s="76" t="s">
        <v>116</v>
      </c>
      <c r="B200" s="118">
        <v>303</v>
      </c>
      <c r="C200" s="6" t="s">
        <v>44</v>
      </c>
      <c r="D200" s="6" t="s">
        <v>37</v>
      </c>
      <c r="E200" s="154" t="s">
        <v>117</v>
      </c>
      <c r="F200" s="106"/>
      <c r="G200" s="150">
        <f>G201+G206</f>
        <v>134639</v>
      </c>
      <c r="H200" s="150">
        <f t="shared" ref="H200:I200" si="79">H201+H206</f>
        <v>38857.65</v>
      </c>
      <c r="I200" s="150">
        <f t="shared" si="79"/>
        <v>20000</v>
      </c>
    </row>
    <row r="201" spans="1:12" ht="31.5" x14ac:dyDescent="0.25">
      <c r="A201" s="76" t="s">
        <v>118</v>
      </c>
      <c r="B201" s="118">
        <v>303</v>
      </c>
      <c r="C201" s="6" t="s">
        <v>44</v>
      </c>
      <c r="D201" s="6" t="s">
        <v>37</v>
      </c>
      <c r="E201" s="154" t="s">
        <v>119</v>
      </c>
      <c r="F201" s="106"/>
      <c r="G201" s="150">
        <f>G202+G204</f>
        <v>39739</v>
      </c>
      <c r="H201" s="150">
        <f>H202+H204</f>
        <v>38857.65</v>
      </c>
      <c r="I201" s="150">
        <f t="shared" ref="I201" si="80">I202+I204</f>
        <v>20000</v>
      </c>
    </row>
    <row r="202" spans="1:12" ht="31.5" x14ac:dyDescent="0.25">
      <c r="A202" s="74" t="s">
        <v>65</v>
      </c>
      <c r="B202" s="143">
        <v>303</v>
      </c>
      <c r="C202" s="7" t="s">
        <v>44</v>
      </c>
      <c r="D202" s="7" t="s">
        <v>37</v>
      </c>
      <c r="E202" s="155" t="s">
        <v>119</v>
      </c>
      <c r="F202" s="106">
        <v>200</v>
      </c>
      <c r="G202" s="133">
        <f>G203</f>
        <v>39739</v>
      </c>
      <c r="H202" s="133">
        <f t="shared" ref="H202:I202" si="81">H203</f>
        <v>38857.65</v>
      </c>
      <c r="I202" s="133">
        <f t="shared" si="81"/>
        <v>20000</v>
      </c>
    </row>
    <row r="203" spans="1:12" ht="47.25" x14ac:dyDescent="0.25">
      <c r="A203" s="74" t="s">
        <v>28</v>
      </c>
      <c r="B203" s="143">
        <v>303</v>
      </c>
      <c r="C203" s="7" t="s">
        <v>44</v>
      </c>
      <c r="D203" s="7" t="s">
        <v>37</v>
      </c>
      <c r="E203" s="155" t="s">
        <v>119</v>
      </c>
      <c r="F203" s="106">
        <v>240</v>
      </c>
      <c r="G203" s="279">
        <f>150000-78030-10000-13716-19795+11280</f>
        <v>39739</v>
      </c>
      <c r="H203" s="279">
        <f>50000-11142.35</f>
        <v>38857.65</v>
      </c>
      <c r="I203" s="279">
        <f>20000</f>
        <v>20000</v>
      </c>
    </row>
    <row r="204" spans="1:12" hidden="1" x14ac:dyDescent="0.25">
      <c r="A204" s="153" t="s">
        <v>14</v>
      </c>
      <c r="B204" s="143">
        <v>303</v>
      </c>
      <c r="C204" s="7" t="s">
        <v>44</v>
      </c>
      <c r="D204" s="7" t="s">
        <v>37</v>
      </c>
      <c r="E204" s="155" t="s">
        <v>119</v>
      </c>
      <c r="F204" s="106">
        <v>800</v>
      </c>
      <c r="G204" s="136">
        <f>G205</f>
        <v>0</v>
      </c>
      <c r="H204" s="136">
        <f t="shared" ref="H204:I204" si="82">H205</f>
        <v>0</v>
      </c>
      <c r="I204" s="136">
        <f t="shared" si="82"/>
        <v>0</v>
      </c>
    </row>
    <row r="205" spans="1:12" hidden="1" x14ac:dyDescent="0.25">
      <c r="A205" s="146" t="s">
        <v>15</v>
      </c>
      <c r="B205" s="143">
        <v>303</v>
      </c>
      <c r="C205" s="7" t="s">
        <v>44</v>
      </c>
      <c r="D205" s="7" t="s">
        <v>37</v>
      </c>
      <c r="E205" s="155" t="s">
        <v>119</v>
      </c>
      <c r="F205" s="106">
        <v>850</v>
      </c>
      <c r="G205" s="136">
        <v>0</v>
      </c>
      <c r="H205" s="136">
        <v>0</v>
      </c>
      <c r="I205" s="136">
        <v>0</v>
      </c>
      <c r="K205" s="140" t="s">
        <v>158</v>
      </c>
    </row>
    <row r="206" spans="1:12" ht="47.25" x14ac:dyDescent="0.25">
      <c r="A206" s="76" t="s">
        <v>159</v>
      </c>
      <c r="B206" s="118">
        <v>303</v>
      </c>
      <c r="C206" s="6" t="s">
        <v>44</v>
      </c>
      <c r="D206" s="6" t="s">
        <v>37</v>
      </c>
      <c r="E206" s="154" t="s">
        <v>168</v>
      </c>
      <c r="F206" s="105"/>
      <c r="G206" s="150">
        <f>G207</f>
        <v>94900</v>
      </c>
      <c r="H206" s="150">
        <f t="shared" ref="H206:I207" si="83">H207</f>
        <v>0</v>
      </c>
      <c r="I206" s="150">
        <f t="shared" si="83"/>
        <v>0</v>
      </c>
    </row>
    <row r="207" spans="1:12" ht="31.5" x14ac:dyDescent="0.25">
      <c r="A207" s="74" t="s">
        <v>65</v>
      </c>
      <c r="B207" s="143">
        <v>303</v>
      </c>
      <c r="C207" s="7" t="s">
        <v>44</v>
      </c>
      <c r="D207" s="7" t="s">
        <v>37</v>
      </c>
      <c r="E207" s="155" t="s">
        <v>168</v>
      </c>
      <c r="F207" s="106">
        <v>200</v>
      </c>
      <c r="G207" s="133">
        <f>G208</f>
        <v>94900</v>
      </c>
      <c r="H207" s="133">
        <f t="shared" si="83"/>
        <v>0</v>
      </c>
      <c r="I207" s="133">
        <f t="shared" si="83"/>
        <v>0</v>
      </c>
    </row>
    <row r="208" spans="1:12" ht="47.25" x14ac:dyDescent="0.25">
      <c r="A208" s="74" t="s">
        <v>28</v>
      </c>
      <c r="B208" s="143">
        <v>303</v>
      </c>
      <c r="C208" s="7" t="s">
        <v>44</v>
      </c>
      <c r="D208" s="7" t="s">
        <v>37</v>
      </c>
      <c r="E208" s="155" t="s">
        <v>168</v>
      </c>
      <c r="F208" s="106">
        <v>240</v>
      </c>
      <c r="G208" s="133">
        <f>94900</f>
        <v>94900</v>
      </c>
      <c r="H208" s="133">
        <v>0</v>
      </c>
      <c r="I208" s="133">
        <v>0</v>
      </c>
    </row>
    <row r="209" spans="1:13" ht="31.5" x14ac:dyDescent="0.25">
      <c r="A209" s="144" t="s">
        <v>174</v>
      </c>
      <c r="B209" s="118">
        <v>303</v>
      </c>
      <c r="C209" s="6" t="s">
        <v>44</v>
      </c>
      <c r="D209" s="6" t="s">
        <v>44</v>
      </c>
      <c r="E209" s="155"/>
      <c r="F209" s="106"/>
      <c r="G209" s="150">
        <f>G210</f>
        <v>4550072.4800000004</v>
      </c>
      <c r="H209" s="150">
        <f t="shared" ref="H209:I209" si="84">H210</f>
        <v>3895330</v>
      </c>
      <c r="I209" s="150">
        <f t="shared" si="84"/>
        <v>3744178.45</v>
      </c>
    </row>
    <row r="210" spans="1:13" ht="34.9" customHeight="1" x14ac:dyDescent="0.25">
      <c r="A210" s="144" t="s">
        <v>110</v>
      </c>
      <c r="B210" s="118">
        <v>303</v>
      </c>
      <c r="C210" s="6" t="s">
        <v>44</v>
      </c>
      <c r="D210" s="6" t="s">
        <v>44</v>
      </c>
      <c r="E210" s="18" t="s">
        <v>111</v>
      </c>
      <c r="F210" s="18"/>
      <c r="G210" s="150">
        <f>G211+G218</f>
        <v>4550072.4800000004</v>
      </c>
      <c r="H210" s="150">
        <f>H211+H218</f>
        <v>3895330</v>
      </c>
      <c r="I210" s="150">
        <f>I211+I218</f>
        <v>3744178.45</v>
      </c>
    </row>
    <row r="211" spans="1:13" ht="47.25" x14ac:dyDescent="0.25">
      <c r="A211" s="194" t="s">
        <v>112</v>
      </c>
      <c r="B211" s="118">
        <v>303</v>
      </c>
      <c r="C211" s="6" t="s">
        <v>44</v>
      </c>
      <c r="D211" s="6" t="s">
        <v>44</v>
      </c>
      <c r="E211" s="18" t="s">
        <v>113</v>
      </c>
      <c r="F211" s="18"/>
      <c r="G211" s="150">
        <f>G212+G214+G216</f>
        <v>3264372.48</v>
      </c>
      <c r="H211" s="150">
        <f t="shared" ref="H211:I211" si="85">H212+H214+H216</f>
        <v>2609630</v>
      </c>
      <c r="I211" s="150">
        <f t="shared" si="85"/>
        <v>2458478.4500000002</v>
      </c>
    </row>
    <row r="212" spans="1:13" ht="94.5" x14ac:dyDescent="0.25">
      <c r="A212" s="146" t="s">
        <v>12</v>
      </c>
      <c r="B212" s="143">
        <v>303</v>
      </c>
      <c r="C212" s="7" t="s">
        <v>44</v>
      </c>
      <c r="D212" s="7" t="s">
        <v>44</v>
      </c>
      <c r="E212" s="20" t="s">
        <v>113</v>
      </c>
      <c r="F212" s="20">
        <v>100</v>
      </c>
      <c r="G212" s="133">
        <f>G213</f>
        <v>2412108</v>
      </c>
      <c r="H212" s="133">
        <f t="shared" ref="H212:I212" si="86">H213</f>
        <v>2000630</v>
      </c>
      <c r="I212" s="133">
        <f t="shared" si="86"/>
        <v>1909478.45</v>
      </c>
    </row>
    <row r="213" spans="1:13" ht="31.5" x14ac:dyDescent="0.25">
      <c r="A213" s="146" t="s">
        <v>114</v>
      </c>
      <c r="B213" s="143">
        <v>303</v>
      </c>
      <c r="C213" s="7" t="s">
        <v>44</v>
      </c>
      <c r="D213" s="7" t="s">
        <v>44</v>
      </c>
      <c r="E213" s="20" t="s">
        <v>113</v>
      </c>
      <c r="F213" s="20">
        <v>110</v>
      </c>
      <c r="G213" s="279">
        <f>2028633+49000+50000+435000-150525</f>
        <v>2412108</v>
      </c>
      <c r="H213" s="279">
        <f>2000630</f>
        <v>2000630</v>
      </c>
      <c r="I213" s="279">
        <f>1909478.45</f>
        <v>1909478.45</v>
      </c>
      <c r="K213" s="83" t="s">
        <v>185</v>
      </c>
      <c r="M213" s="195">
        <v>0.55000000000000004</v>
      </c>
    </row>
    <row r="214" spans="1:13" ht="31.5" x14ac:dyDescent="0.25">
      <c r="A214" s="146" t="s">
        <v>65</v>
      </c>
      <c r="B214" s="143">
        <v>303</v>
      </c>
      <c r="C214" s="7" t="s">
        <v>44</v>
      </c>
      <c r="D214" s="7" t="s">
        <v>44</v>
      </c>
      <c r="E214" s="20" t="s">
        <v>113</v>
      </c>
      <c r="F214" s="20">
        <v>200</v>
      </c>
      <c r="G214" s="279">
        <f>G215</f>
        <v>842264.48</v>
      </c>
      <c r="H214" s="279">
        <f t="shared" ref="H214:I214" si="87">H215</f>
        <v>600000</v>
      </c>
      <c r="I214" s="279">
        <f t="shared" si="87"/>
        <v>540000</v>
      </c>
    </row>
    <row r="215" spans="1:13" ht="47.25" x14ac:dyDescent="0.25">
      <c r="A215" s="146" t="s">
        <v>28</v>
      </c>
      <c r="B215" s="143">
        <v>303</v>
      </c>
      <c r="C215" s="7" t="s">
        <v>44</v>
      </c>
      <c r="D215" s="7" t="s">
        <v>44</v>
      </c>
      <c r="E215" s="20" t="s">
        <v>113</v>
      </c>
      <c r="F215" s="20">
        <v>240</v>
      </c>
      <c r="G215" s="279">
        <f>685400+156864.48</f>
        <v>842264.48</v>
      </c>
      <c r="H215" s="279">
        <f>600000</f>
        <v>600000</v>
      </c>
      <c r="I215" s="279">
        <f>540000</f>
        <v>540000</v>
      </c>
    </row>
    <row r="216" spans="1:13" x14ac:dyDescent="0.25">
      <c r="A216" s="153" t="s">
        <v>14</v>
      </c>
      <c r="B216" s="143">
        <v>303</v>
      </c>
      <c r="C216" s="7" t="s">
        <v>44</v>
      </c>
      <c r="D216" s="7" t="s">
        <v>44</v>
      </c>
      <c r="E216" s="20" t="s">
        <v>113</v>
      </c>
      <c r="F216" s="20">
        <v>800</v>
      </c>
      <c r="G216" s="279">
        <f>G217</f>
        <v>10000</v>
      </c>
      <c r="H216" s="279">
        <f t="shared" ref="H216:I216" si="88">H217</f>
        <v>9000</v>
      </c>
      <c r="I216" s="279">
        <f t="shared" si="88"/>
        <v>9000</v>
      </c>
    </row>
    <row r="217" spans="1:13" x14ac:dyDescent="0.25">
      <c r="A217" s="146" t="s">
        <v>15</v>
      </c>
      <c r="B217" s="143">
        <v>303</v>
      </c>
      <c r="C217" s="7" t="s">
        <v>44</v>
      </c>
      <c r="D217" s="7" t="s">
        <v>44</v>
      </c>
      <c r="E217" s="20" t="s">
        <v>113</v>
      </c>
      <c r="F217" s="20">
        <v>850</v>
      </c>
      <c r="G217" s="279">
        <f>9000+1000</f>
        <v>10000</v>
      </c>
      <c r="H217" s="279">
        <f>9000</f>
        <v>9000</v>
      </c>
      <c r="I217" s="279">
        <f>9000</f>
        <v>9000</v>
      </c>
      <c r="K217" s="8" t="s">
        <v>177</v>
      </c>
    </row>
    <row r="218" spans="1:13" ht="94.5" x14ac:dyDescent="0.25">
      <c r="A218" s="196" t="s">
        <v>88</v>
      </c>
      <c r="B218" s="164">
        <v>303</v>
      </c>
      <c r="C218" s="125" t="s">
        <v>44</v>
      </c>
      <c r="D218" s="125" t="s">
        <v>44</v>
      </c>
      <c r="E218" s="26" t="s">
        <v>115</v>
      </c>
      <c r="F218" s="28"/>
      <c r="G218" s="166">
        <f>G219+G221</f>
        <v>1285700</v>
      </c>
      <c r="H218" s="166">
        <f t="shared" ref="H218:I218" si="89">H219+H221</f>
        <v>1285700</v>
      </c>
      <c r="I218" s="166">
        <f t="shared" si="89"/>
        <v>1285700</v>
      </c>
    </row>
    <row r="219" spans="1:13" ht="94.5" x14ac:dyDescent="0.25">
      <c r="A219" s="197" t="s">
        <v>12</v>
      </c>
      <c r="B219" s="168">
        <v>303</v>
      </c>
      <c r="C219" s="127" t="s">
        <v>44</v>
      </c>
      <c r="D219" s="127" t="s">
        <v>44</v>
      </c>
      <c r="E219" s="28" t="s">
        <v>115</v>
      </c>
      <c r="F219" s="28">
        <v>100</v>
      </c>
      <c r="G219" s="170">
        <f>G220</f>
        <v>1264700</v>
      </c>
      <c r="H219" s="170">
        <f t="shared" ref="H219:I219" si="90">H220</f>
        <v>1264700</v>
      </c>
      <c r="I219" s="170">
        <f t="shared" si="90"/>
        <v>1264700</v>
      </c>
    </row>
    <row r="220" spans="1:13" ht="31.5" x14ac:dyDescent="0.25">
      <c r="A220" s="197" t="s">
        <v>114</v>
      </c>
      <c r="B220" s="168">
        <v>303</v>
      </c>
      <c r="C220" s="127" t="s">
        <v>44</v>
      </c>
      <c r="D220" s="127" t="s">
        <v>44</v>
      </c>
      <c r="E220" s="28" t="s">
        <v>115</v>
      </c>
      <c r="F220" s="28">
        <v>110</v>
      </c>
      <c r="G220" s="170">
        <f>1264700</f>
        <v>1264700</v>
      </c>
      <c r="H220" s="170">
        <f t="shared" ref="H220:I220" si="91">1264700</f>
        <v>1264700</v>
      </c>
      <c r="I220" s="170">
        <f t="shared" si="91"/>
        <v>1264700</v>
      </c>
      <c r="M220" s="195">
        <v>0.45</v>
      </c>
    </row>
    <row r="221" spans="1:13" ht="31.5" x14ac:dyDescent="0.25">
      <c r="A221" s="197" t="s">
        <v>65</v>
      </c>
      <c r="B221" s="168">
        <v>303</v>
      </c>
      <c r="C221" s="127" t="s">
        <v>44</v>
      </c>
      <c r="D221" s="127" t="s">
        <v>44</v>
      </c>
      <c r="E221" s="28" t="s">
        <v>115</v>
      </c>
      <c r="F221" s="28">
        <v>200</v>
      </c>
      <c r="G221" s="170">
        <f>G222</f>
        <v>21000</v>
      </c>
      <c r="H221" s="170">
        <f t="shared" ref="H221:I221" si="92">H222</f>
        <v>21000</v>
      </c>
      <c r="I221" s="170">
        <f t="shared" si="92"/>
        <v>21000</v>
      </c>
    </row>
    <row r="222" spans="1:13" ht="47.25" x14ac:dyDescent="0.25">
      <c r="A222" s="197" t="s">
        <v>28</v>
      </c>
      <c r="B222" s="168">
        <v>303</v>
      </c>
      <c r="C222" s="127" t="s">
        <v>44</v>
      </c>
      <c r="D222" s="127" t="s">
        <v>44</v>
      </c>
      <c r="E222" s="28" t="s">
        <v>115</v>
      </c>
      <c r="F222" s="28">
        <v>240</v>
      </c>
      <c r="G222" s="170">
        <f>21000</f>
        <v>21000</v>
      </c>
      <c r="H222" s="170">
        <f>21000</f>
        <v>21000</v>
      </c>
      <c r="I222" s="170">
        <f>21000</f>
        <v>21000</v>
      </c>
      <c r="K222" s="140" t="s">
        <v>178</v>
      </c>
    </row>
    <row r="223" spans="1:13" x14ac:dyDescent="0.25">
      <c r="A223" s="18" t="s">
        <v>181</v>
      </c>
      <c r="B223" s="18">
        <v>303</v>
      </c>
      <c r="C223" s="6" t="s">
        <v>39</v>
      </c>
      <c r="D223" s="6" t="s">
        <v>35</v>
      </c>
      <c r="E223" s="151"/>
      <c r="F223" s="20"/>
      <c r="G223" s="150">
        <f>G224</f>
        <v>2958331</v>
      </c>
      <c r="H223" s="150">
        <f t="shared" ref="H223:I236" si="93">H224</f>
        <v>317900</v>
      </c>
      <c r="I223" s="150">
        <f t="shared" si="93"/>
        <v>317900</v>
      </c>
    </row>
    <row r="224" spans="1:13" ht="40.9" customHeight="1" x14ac:dyDescent="0.25">
      <c r="A224" s="144" t="s">
        <v>182</v>
      </c>
      <c r="B224" s="18">
        <v>303</v>
      </c>
      <c r="C224" s="6" t="s">
        <v>39</v>
      </c>
      <c r="D224" s="6" t="s">
        <v>44</v>
      </c>
      <c r="E224" s="152"/>
      <c r="F224" s="18"/>
      <c r="G224" s="150">
        <f>G225</f>
        <v>2958331</v>
      </c>
      <c r="H224" s="150">
        <f t="shared" si="93"/>
        <v>317900</v>
      </c>
      <c r="I224" s="150">
        <f t="shared" si="93"/>
        <v>317900</v>
      </c>
    </row>
    <row r="225" spans="1:9" ht="78.75" x14ac:dyDescent="0.25">
      <c r="A225" s="144" t="s">
        <v>73</v>
      </c>
      <c r="B225" s="18">
        <v>303</v>
      </c>
      <c r="C225" s="6" t="s">
        <v>39</v>
      </c>
      <c r="D225" s="6" t="s">
        <v>44</v>
      </c>
      <c r="E225" s="174" t="s">
        <v>74</v>
      </c>
      <c r="F225" s="18"/>
      <c r="G225" s="150">
        <f>G229+G232+G235</f>
        <v>2958331</v>
      </c>
      <c r="H225" s="150">
        <f t="shared" ref="H225:I225" si="94">H235+H226+H232</f>
        <v>317900</v>
      </c>
      <c r="I225" s="150">
        <f t="shared" si="94"/>
        <v>317900</v>
      </c>
    </row>
    <row r="226" spans="1:9" ht="31.5" hidden="1" x14ac:dyDescent="0.25">
      <c r="A226" s="144" t="s">
        <v>227</v>
      </c>
      <c r="B226" s="18">
        <v>303</v>
      </c>
      <c r="C226" s="6" t="s">
        <v>39</v>
      </c>
      <c r="D226" s="6" t="s">
        <v>44</v>
      </c>
      <c r="E226" s="18" t="s">
        <v>226</v>
      </c>
      <c r="F226" s="18"/>
      <c r="G226" s="150">
        <f>G227</f>
        <v>0</v>
      </c>
      <c r="H226" s="150">
        <f t="shared" si="93"/>
        <v>0</v>
      </c>
      <c r="I226" s="150">
        <f t="shared" si="93"/>
        <v>0</v>
      </c>
    </row>
    <row r="227" spans="1:9" ht="31.5" hidden="1" x14ac:dyDescent="0.25">
      <c r="A227" s="146" t="s">
        <v>65</v>
      </c>
      <c r="B227" s="20">
        <v>303</v>
      </c>
      <c r="C227" s="7" t="s">
        <v>39</v>
      </c>
      <c r="D227" s="7" t="s">
        <v>44</v>
      </c>
      <c r="E227" s="20" t="s">
        <v>226</v>
      </c>
      <c r="F227" s="20">
        <v>200</v>
      </c>
      <c r="G227" s="268">
        <f>G228</f>
        <v>0</v>
      </c>
      <c r="H227" s="268">
        <f t="shared" si="93"/>
        <v>0</v>
      </c>
      <c r="I227" s="268">
        <f t="shared" si="93"/>
        <v>0</v>
      </c>
    </row>
    <row r="228" spans="1:9" ht="47.25" hidden="1" x14ac:dyDescent="0.25">
      <c r="A228" s="146" t="s">
        <v>28</v>
      </c>
      <c r="B228" s="20">
        <v>303</v>
      </c>
      <c r="C228" s="7" t="s">
        <v>39</v>
      </c>
      <c r="D228" s="7" t="s">
        <v>44</v>
      </c>
      <c r="E228" s="20" t="s">
        <v>226</v>
      </c>
      <c r="F228" s="20">
        <v>240</v>
      </c>
      <c r="G228" s="268">
        <v>0</v>
      </c>
      <c r="H228" s="268">
        <v>0</v>
      </c>
      <c r="I228" s="268">
        <v>0</v>
      </c>
    </row>
    <row r="229" spans="1:9" s="199" customFormat="1" ht="31.5" x14ac:dyDescent="0.25">
      <c r="A229" s="308" t="s">
        <v>227</v>
      </c>
      <c r="B229" s="309">
        <v>303</v>
      </c>
      <c r="C229" s="6" t="s">
        <v>39</v>
      </c>
      <c r="D229" s="6" t="s">
        <v>44</v>
      </c>
      <c r="E229" s="309" t="s">
        <v>226</v>
      </c>
      <c r="F229" s="309"/>
      <c r="G229" s="150">
        <f>G230</f>
        <v>30780</v>
      </c>
      <c r="H229" s="150">
        <f t="shared" si="93"/>
        <v>0</v>
      </c>
      <c r="I229" s="150">
        <f t="shared" si="93"/>
        <v>0</v>
      </c>
    </row>
    <row r="230" spans="1:9" s="199" customFormat="1" ht="31.5" x14ac:dyDescent="0.25">
      <c r="A230" s="310" t="s">
        <v>65</v>
      </c>
      <c r="B230" s="311">
        <v>303</v>
      </c>
      <c r="C230" s="7" t="s">
        <v>39</v>
      </c>
      <c r="D230" s="7" t="s">
        <v>44</v>
      </c>
      <c r="E230" s="311" t="s">
        <v>226</v>
      </c>
      <c r="F230" s="311">
        <v>200</v>
      </c>
      <c r="G230" s="307">
        <f>G231</f>
        <v>30780</v>
      </c>
      <c r="H230" s="307">
        <f t="shared" si="93"/>
        <v>0</v>
      </c>
      <c r="I230" s="307">
        <f t="shared" si="93"/>
        <v>0</v>
      </c>
    </row>
    <row r="231" spans="1:9" s="199" customFormat="1" ht="47.25" x14ac:dyDescent="0.25">
      <c r="A231" s="310" t="s">
        <v>28</v>
      </c>
      <c r="B231" s="311">
        <v>303</v>
      </c>
      <c r="C231" s="7" t="s">
        <v>39</v>
      </c>
      <c r="D231" s="7" t="s">
        <v>44</v>
      </c>
      <c r="E231" s="311" t="s">
        <v>226</v>
      </c>
      <c r="F231" s="311">
        <v>240</v>
      </c>
      <c r="G231" s="307">
        <f>30780</f>
        <v>30780</v>
      </c>
      <c r="H231" s="307">
        <v>0</v>
      </c>
      <c r="I231" s="307">
        <v>0</v>
      </c>
    </row>
    <row r="232" spans="1:9" s="199" customFormat="1" ht="63" x14ac:dyDescent="0.25">
      <c r="A232" s="308" t="s">
        <v>296</v>
      </c>
      <c r="B232" s="309">
        <v>303</v>
      </c>
      <c r="C232" s="6" t="s">
        <v>39</v>
      </c>
      <c r="D232" s="6" t="s">
        <v>44</v>
      </c>
      <c r="E232" s="309" t="s">
        <v>295</v>
      </c>
      <c r="F232" s="309"/>
      <c r="G232" s="150">
        <f>G233</f>
        <v>2609651</v>
      </c>
      <c r="H232" s="150">
        <f t="shared" si="93"/>
        <v>0</v>
      </c>
      <c r="I232" s="150">
        <f t="shared" si="93"/>
        <v>0</v>
      </c>
    </row>
    <row r="233" spans="1:9" s="199" customFormat="1" ht="31.5" x14ac:dyDescent="0.25">
      <c r="A233" s="310" t="s">
        <v>65</v>
      </c>
      <c r="B233" s="311">
        <v>303</v>
      </c>
      <c r="C233" s="7" t="s">
        <v>39</v>
      </c>
      <c r="D233" s="7" t="s">
        <v>44</v>
      </c>
      <c r="E233" s="311" t="s">
        <v>295</v>
      </c>
      <c r="F233" s="311">
        <v>200</v>
      </c>
      <c r="G233" s="307">
        <f>G234</f>
        <v>2609651</v>
      </c>
      <c r="H233" s="307">
        <f t="shared" si="93"/>
        <v>0</v>
      </c>
      <c r="I233" s="307">
        <f t="shared" si="93"/>
        <v>0</v>
      </c>
    </row>
    <row r="234" spans="1:9" s="199" customFormat="1" ht="47.25" x14ac:dyDescent="0.25">
      <c r="A234" s="310" t="s">
        <v>28</v>
      </c>
      <c r="B234" s="311">
        <v>303</v>
      </c>
      <c r="C234" s="7" t="s">
        <v>39</v>
      </c>
      <c r="D234" s="7" t="s">
        <v>44</v>
      </c>
      <c r="E234" s="311" t="s">
        <v>295</v>
      </c>
      <c r="F234" s="311">
        <v>240</v>
      </c>
      <c r="G234" s="307">
        <f>2609651</f>
        <v>2609651</v>
      </c>
      <c r="H234" s="307">
        <v>0</v>
      </c>
      <c r="I234" s="307">
        <v>0</v>
      </c>
    </row>
    <row r="235" spans="1:9" ht="47.25" x14ac:dyDescent="0.25">
      <c r="A235" s="196" t="s">
        <v>175</v>
      </c>
      <c r="B235" s="26">
        <v>303</v>
      </c>
      <c r="C235" s="125" t="s">
        <v>39</v>
      </c>
      <c r="D235" s="125" t="s">
        <v>44</v>
      </c>
      <c r="E235" s="26" t="s">
        <v>183</v>
      </c>
      <c r="F235" s="26"/>
      <c r="G235" s="166">
        <f>G236</f>
        <v>317900</v>
      </c>
      <c r="H235" s="166">
        <f t="shared" si="93"/>
        <v>317900</v>
      </c>
      <c r="I235" s="166">
        <f t="shared" si="93"/>
        <v>317900</v>
      </c>
    </row>
    <row r="236" spans="1:9" ht="31.5" x14ac:dyDescent="0.25">
      <c r="A236" s="197" t="s">
        <v>65</v>
      </c>
      <c r="B236" s="28">
        <v>303</v>
      </c>
      <c r="C236" s="127" t="s">
        <v>39</v>
      </c>
      <c r="D236" s="127" t="s">
        <v>44</v>
      </c>
      <c r="E236" s="28" t="s">
        <v>183</v>
      </c>
      <c r="F236" s="28">
        <v>200</v>
      </c>
      <c r="G236" s="170">
        <f>G237</f>
        <v>317900</v>
      </c>
      <c r="H236" s="170">
        <f t="shared" si="93"/>
        <v>317900</v>
      </c>
      <c r="I236" s="170">
        <f t="shared" si="93"/>
        <v>317900</v>
      </c>
    </row>
    <row r="237" spans="1:9" ht="47.25" x14ac:dyDescent="0.25">
      <c r="A237" s="197" t="s">
        <v>28</v>
      </c>
      <c r="B237" s="28">
        <v>303</v>
      </c>
      <c r="C237" s="127" t="s">
        <v>39</v>
      </c>
      <c r="D237" s="127" t="s">
        <v>44</v>
      </c>
      <c r="E237" s="28" t="s">
        <v>183</v>
      </c>
      <c r="F237" s="28">
        <v>240</v>
      </c>
      <c r="G237" s="170">
        <f>317900</f>
        <v>317900</v>
      </c>
      <c r="H237" s="170">
        <f>317900</f>
        <v>317900</v>
      </c>
      <c r="I237" s="170">
        <f>317900</f>
        <v>317900</v>
      </c>
    </row>
    <row r="238" spans="1:9" ht="20.65" customHeight="1" x14ac:dyDescent="0.25">
      <c r="A238" s="137" t="s">
        <v>16</v>
      </c>
      <c r="B238" s="118">
        <v>303</v>
      </c>
      <c r="C238" s="6" t="s">
        <v>45</v>
      </c>
      <c r="D238" s="6" t="s">
        <v>35</v>
      </c>
      <c r="E238" s="138"/>
      <c r="F238" s="142"/>
      <c r="G238" s="150">
        <f>G239</f>
        <v>37500</v>
      </c>
      <c r="H238" s="150">
        <f t="shared" ref="H238:I240" si="95">H239</f>
        <v>20000</v>
      </c>
      <c r="I238" s="150">
        <f t="shared" si="95"/>
        <v>20000</v>
      </c>
    </row>
    <row r="239" spans="1:9" ht="22.15" customHeight="1" x14ac:dyDescent="0.25">
      <c r="A239" s="137" t="s">
        <v>30</v>
      </c>
      <c r="B239" s="118">
        <v>303</v>
      </c>
      <c r="C239" s="6" t="s">
        <v>45</v>
      </c>
      <c r="D239" s="6" t="s">
        <v>45</v>
      </c>
      <c r="E239" s="138"/>
      <c r="F239" s="142"/>
      <c r="G239" s="150">
        <f>G240</f>
        <v>37500</v>
      </c>
      <c r="H239" s="150">
        <f t="shared" si="95"/>
        <v>20000</v>
      </c>
      <c r="I239" s="150">
        <f t="shared" si="95"/>
        <v>20000</v>
      </c>
    </row>
    <row r="240" spans="1:9" ht="31.15" customHeight="1" x14ac:dyDescent="0.25">
      <c r="A240" s="144" t="s">
        <v>135</v>
      </c>
      <c r="B240" s="118">
        <v>303</v>
      </c>
      <c r="C240" s="6" t="s">
        <v>45</v>
      </c>
      <c r="D240" s="6" t="s">
        <v>45</v>
      </c>
      <c r="E240" s="18" t="s">
        <v>136</v>
      </c>
      <c r="F240" s="142"/>
      <c r="G240" s="150">
        <f>G241</f>
        <v>37500</v>
      </c>
      <c r="H240" s="150">
        <f t="shared" si="95"/>
        <v>20000</v>
      </c>
      <c r="I240" s="150">
        <f t="shared" si="95"/>
        <v>20000</v>
      </c>
    </row>
    <row r="241" spans="1:9" ht="36.6" customHeight="1" x14ac:dyDescent="0.25">
      <c r="A241" s="144" t="s">
        <v>137</v>
      </c>
      <c r="B241" s="118">
        <v>303</v>
      </c>
      <c r="C241" s="6" t="s">
        <v>45</v>
      </c>
      <c r="D241" s="6" t="s">
        <v>45</v>
      </c>
      <c r="E241" s="18" t="s">
        <v>138</v>
      </c>
      <c r="F241" s="142"/>
      <c r="G241" s="150">
        <f>G242</f>
        <v>37500</v>
      </c>
      <c r="H241" s="150">
        <f t="shared" ref="H241:I242" si="96">H242</f>
        <v>20000</v>
      </c>
      <c r="I241" s="150">
        <f t="shared" si="96"/>
        <v>20000</v>
      </c>
    </row>
    <row r="242" spans="1:9" ht="31.5" x14ac:dyDescent="0.25">
      <c r="A242" s="146" t="s">
        <v>65</v>
      </c>
      <c r="B242" s="143">
        <v>303</v>
      </c>
      <c r="C242" s="7" t="s">
        <v>45</v>
      </c>
      <c r="D242" s="7" t="s">
        <v>45</v>
      </c>
      <c r="E242" s="20" t="s">
        <v>138</v>
      </c>
      <c r="F242" s="142">
        <v>200</v>
      </c>
      <c r="G242" s="133">
        <f>G243</f>
        <v>37500</v>
      </c>
      <c r="H242" s="133">
        <f t="shared" si="96"/>
        <v>20000</v>
      </c>
      <c r="I242" s="133">
        <f t="shared" si="96"/>
        <v>20000</v>
      </c>
    </row>
    <row r="243" spans="1:9" ht="47.25" x14ac:dyDescent="0.25">
      <c r="A243" s="146" t="s">
        <v>28</v>
      </c>
      <c r="B243" s="143">
        <v>303</v>
      </c>
      <c r="C243" s="7" t="s">
        <v>45</v>
      </c>
      <c r="D243" s="7" t="s">
        <v>45</v>
      </c>
      <c r="E243" s="20" t="s">
        <v>138</v>
      </c>
      <c r="F243" s="142">
        <v>240</v>
      </c>
      <c r="G243" s="133">
        <f>37000+500</f>
        <v>37500</v>
      </c>
      <c r="H243" s="133">
        <f>20000</f>
        <v>20000</v>
      </c>
      <c r="I243" s="280">
        <f>20000</f>
        <v>20000</v>
      </c>
    </row>
    <row r="244" spans="1:9" x14ac:dyDescent="0.25">
      <c r="A244" s="137" t="s">
        <v>274</v>
      </c>
      <c r="B244" s="288">
        <v>303</v>
      </c>
      <c r="C244" s="6" t="s">
        <v>270</v>
      </c>
      <c r="D244" s="6" t="s">
        <v>35</v>
      </c>
      <c r="E244" s="138"/>
      <c r="F244" s="142"/>
      <c r="G244" s="150">
        <f>G245</f>
        <v>319900</v>
      </c>
      <c r="H244" s="150">
        <f t="shared" ref="H244:I257" si="97">H245</f>
        <v>0</v>
      </c>
      <c r="I244" s="150">
        <f t="shared" si="97"/>
        <v>0</v>
      </c>
    </row>
    <row r="245" spans="1:9" ht="31.5" x14ac:dyDescent="0.25">
      <c r="A245" s="137" t="s">
        <v>275</v>
      </c>
      <c r="B245" s="288">
        <v>303</v>
      </c>
      <c r="C245" s="6" t="s">
        <v>270</v>
      </c>
      <c r="D245" s="6" t="s">
        <v>38</v>
      </c>
      <c r="E245" s="138"/>
      <c r="F245" s="142"/>
      <c r="G245" s="150">
        <f>G246</f>
        <v>319900</v>
      </c>
      <c r="H245" s="150">
        <f t="shared" si="97"/>
        <v>0</v>
      </c>
      <c r="I245" s="150">
        <f t="shared" si="97"/>
        <v>0</v>
      </c>
    </row>
    <row r="246" spans="1:9" ht="31.5" x14ac:dyDescent="0.25">
      <c r="A246" s="144" t="s">
        <v>273</v>
      </c>
      <c r="B246" s="288">
        <v>303</v>
      </c>
      <c r="C246" s="6" t="s">
        <v>270</v>
      </c>
      <c r="D246" s="6" t="s">
        <v>38</v>
      </c>
      <c r="E246" s="18" t="s">
        <v>271</v>
      </c>
      <c r="F246" s="142"/>
      <c r="G246" s="150">
        <f>G247+G253+G256+G250</f>
        <v>319900</v>
      </c>
      <c r="H246" s="326">
        <f t="shared" ref="H246:I246" si="98">H247+H253+H256+H250</f>
        <v>0</v>
      </c>
      <c r="I246" s="326">
        <f t="shared" si="98"/>
        <v>0</v>
      </c>
    </row>
    <row r="247" spans="1:9" ht="83.45" customHeight="1" x14ac:dyDescent="0.25">
      <c r="A247" s="144" t="s">
        <v>276</v>
      </c>
      <c r="B247" s="303">
        <v>303</v>
      </c>
      <c r="C247" s="6" t="s">
        <v>270</v>
      </c>
      <c r="D247" s="6" t="s">
        <v>38</v>
      </c>
      <c r="E247" s="18" t="s">
        <v>272</v>
      </c>
      <c r="F247" s="191"/>
      <c r="G247" s="150">
        <f>G248</f>
        <v>6000</v>
      </c>
      <c r="H247" s="150">
        <f t="shared" si="97"/>
        <v>0</v>
      </c>
      <c r="I247" s="150">
        <f t="shared" si="97"/>
        <v>0</v>
      </c>
    </row>
    <row r="248" spans="1:9" ht="31.5" x14ac:dyDescent="0.25">
      <c r="A248" s="146" t="s">
        <v>65</v>
      </c>
      <c r="B248" s="143">
        <v>303</v>
      </c>
      <c r="C248" s="7" t="s">
        <v>270</v>
      </c>
      <c r="D248" s="7" t="s">
        <v>38</v>
      </c>
      <c r="E248" s="20" t="s">
        <v>272</v>
      </c>
      <c r="F248" s="142">
        <v>200</v>
      </c>
      <c r="G248" s="287">
        <f>G249</f>
        <v>6000</v>
      </c>
      <c r="H248" s="287">
        <f t="shared" si="97"/>
        <v>0</v>
      </c>
      <c r="I248" s="287">
        <f t="shared" si="97"/>
        <v>0</v>
      </c>
    </row>
    <row r="249" spans="1:9" ht="47.25" x14ac:dyDescent="0.25">
      <c r="A249" s="146" t="s">
        <v>28</v>
      </c>
      <c r="B249" s="143">
        <v>303</v>
      </c>
      <c r="C249" s="7" t="s">
        <v>270</v>
      </c>
      <c r="D249" s="7" t="s">
        <v>38</v>
      </c>
      <c r="E249" s="20" t="s">
        <v>272</v>
      </c>
      <c r="F249" s="142">
        <v>240</v>
      </c>
      <c r="G249" s="287">
        <f>6000</f>
        <v>6000</v>
      </c>
      <c r="H249" s="287">
        <v>0</v>
      </c>
      <c r="I249" s="287">
        <v>0</v>
      </c>
    </row>
    <row r="250" spans="1:9" ht="40.15" customHeight="1" x14ac:dyDescent="0.25">
      <c r="A250" s="144" t="s">
        <v>301</v>
      </c>
      <c r="B250" s="338">
        <v>303</v>
      </c>
      <c r="C250" s="316" t="s">
        <v>270</v>
      </c>
      <c r="D250" s="316" t="s">
        <v>38</v>
      </c>
      <c r="E250" s="330" t="s">
        <v>300</v>
      </c>
      <c r="F250" s="191"/>
      <c r="G250" s="326">
        <f>G251</f>
        <v>25000</v>
      </c>
      <c r="H250" s="326">
        <f t="shared" si="97"/>
        <v>0</v>
      </c>
      <c r="I250" s="326">
        <f t="shared" si="97"/>
        <v>0</v>
      </c>
    </row>
    <row r="251" spans="1:9" ht="31.5" x14ac:dyDescent="0.25">
      <c r="A251" s="146" t="s">
        <v>65</v>
      </c>
      <c r="B251" s="325">
        <v>303</v>
      </c>
      <c r="C251" s="317" t="s">
        <v>270</v>
      </c>
      <c r="D251" s="317" t="s">
        <v>38</v>
      </c>
      <c r="E251" s="20" t="s">
        <v>300</v>
      </c>
      <c r="F251" s="142">
        <v>200</v>
      </c>
      <c r="G251" s="339">
        <f>G252</f>
        <v>25000</v>
      </c>
      <c r="H251" s="339">
        <f t="shared" si="97"/>
        <v>0</v>
      </c>
      <c r="I251" s="339">
        <f t="shared" si="97"/>
        <v>0</v>
      </c>
    </row>
    <row r="252" spans="1:9" ht="47.25" x14ac:dyDescent="0.25">
      <c r="A252" s="146" t="s">
        <v>28</v>
      </c>
      <c r="B252" s="325">
        <v>303</v>
      </c>
      <c r="C252" s="317" t="s">
        <v>270</v>
      </c>
      <c r="D252" s="317" t="s">
        <v>38</v>
      </c>
      <c r="E252" s="20" t="s">
        <v>300</v>
      </c>
      <c r="F252" s="142">
        <v>240</v>
      </c>
      <c r="G252" s="339">
        <f>25000</f>
        <v>25000</v>
      </c>
      <c r="H252" s="339">
        <v>0</v>
      </c>
      <c r="I252" s="339">
        <v>0</v>
      </c>
    </row>
    <row r="253" spans="1:9" ht="49.9" customHeight="1" x14ac:dyDescent="0.25">
      <c r="A253" s="144" t="s">
        <v>241</v>
      </c>
      <c r="B253" s="303">
        <v>303</v>
      </c>
      <c r="C253" s="6" t="s">
        <v>270</v>
      </c>
      <c r="D253" s="6" t="s">
        <v>38</v>
      </c>
      <c r="E253" s="18" t="s">
        <v>284</v>
      </c>
      <c r="F253" s="191"/>
      <c r="G253" s="150">
        <f>G254</f>
        <v>250000</v>
      </c>
      <c r="H253" s="150">
        <f t="shared" si="97"/>
        <v>0</v>
      </c>
      <c r="I253" s="150">
        <f t="shared" si="97"/>
        <v>0</v>
      </c>
    </row>
    <row r="254" spans="1:9" ht="31.5" x14ac:dyDescent="0.25">
      <c r="A254" s="146" t="s">
        <v>65</v>
      </c>
      <c r="B254" s="143">
        <v>303</v>
      </c>
      <c r="C254" s="7" t="s">
        <v>270</v>
      </c>
      <c r="D254" s="7" t="s">
        <v>38</v>
      </c>
      <c r="E254" s="20" t="s">
        <v>284</v>
      </c>
      <c r="F254" s="142">
        <v>200</v>
      </c>
      <c r="G254" s="302">
        <f>G255</f>
        <v>250000</v>
      </c>
      <c r="H254" s="302">
        <f t="shared" si="97"/>
        <v>0</v>
      </c>
      <c r="I254" s="302">
        <f t="shared" si="97"/>
        <v>0</v>
      </c>
    </row>
    <row r="255" spans="1:9" ht="47.25" x14ac:dyDescent="0.25">
      <c r="A255" s="146" t="s">
        <v>28</v>
      </c>
      <c r="B255" s="143">
        <v>303</v>
      </c>
      <c r="C255" s="7" t="s">
        <v>270</v>
      </c>
      <c r="D255" s="7" t="s">
        <v>38</v>
      </c>
      <c r="E255" s="20" t="s">
        <v>284</v>
      </c>
      <c r="F255" s="142">
        <v>240</v>
      </c>
      <c r="G255" s="302">
        <f>250000</f>
        <v>250000</v>
      </c>
      <c r="H255" s="302">
        <v>0</v>
      </c>
      <c r="I255" s="302">
        <v>0</v>
      </c>
    </row>
    <row r="256" spans="1:9" ht="53.45" customHeight="1" x14ac:dyDescent="0.25">
      <c r="A256" s="144" t="s">
        <v>243</v>
      </c>
      <c r="B256" s="303">
        <v>303</v>
      </c>
      <c r="C256" s="6" t="s">
        <v>270</v>
      </c>
      <c r="D256" s="6" t="s">
        <v>38</v>
      </c>
      <c r="E256" s="18" t="s">
        <v>288</v>
      </c>
      <c r="F256" s="191"/>
      <c r="G256" s="150">
        <f>G257</f>
        <v>38900</v>
      </c>
      <c r="H256" s="150">
        <f t="shared" si="97"/>
        <v>0</v>
      </c>
      <c r="I256" s="150">
        <f t="shared" si="97"/>
        <v>0</v>
      </c>
    </row>
    <row r="257" spans="1:9" ht="31.5" x14ac:dyDescent="0.25">
      <c r="A257" s="146" t="s">
        <v>65</v>
      </c>
      <c r="B257" s="143">
        <v>303</v>
      </c>
      <c r="C257" s="7" t="s">
        <v>270</v>
      </c>
      <c r="D257" s="7" t="s">
        <v>38</v>
      </c>
      <c r="E257" s="20" t="s">
        <v>288</v>
      </c>
      <c r="F257" s="142">
        <v>200</v>
      </c>
      <c r="G257" s="302">
        <f>G258</f>
        <v>38900</v>
      </c>
      <c r="H257" s="302">
        <f t="shared" si="97"/>
        <v>0</v>
      </c>
      <c r="I257" s="302">
        <f t="shared" si="97"/>
        <v>0</v>
      </c>
    </row>
    <row r="258" spans="1:9" ht="47.25" x14ac:dyDescent="0.25">
      <c r="A258" s="146" t="s">
        <v>28</v>
      </c>
      <c r="B258" s="143">
        <v>303</v>
      </c>
      <c r="C258" s="7" t="s">
        <v>270</v>
      </c>
      <c r="D258" s="7" t="s">
        <v>38</v>
      </c>
      <c r="E258" s="20" t="s">
        <v>288</v>
      </c>
      <c r="F258" s="142">
        <v>240</v>
      </c>
      <c r="G258" s="302">
        <f>9500+29400</f>
        <v>38900</v>
      </c>
      <c r="H258" s="302">
        <v>0</v>
      </c>
      <c r="I258" s="302">
        <v>0</v>
      </c>
    </row>
    <row r="259" spans="1:9" ht="20.25" customHeight="1" x14ac:dyDescent="0.25">
      <c r="A259" s="137" t="s">
        <v>18</v>
      </c>
      <c r="B259" s="118">
        <v>303</v>
      </c>
      <c r="C259" s="6" t="s">
        <v>42</v>
      </c>
      <c r="D259" s="6" t="s">
        <v>35</v>
      </c>
      <c r="E259" s="138"/>
      <c r="F259" s="139"/>
      <c r="G259" s="135">
        <f>G265+G260</f>
        <v>180449.28000000003</v>
      </c>
      <c r="H259" s="135">
        <f t="shared" ref="H259:I259" si="99">H265+H260</f>
        <v>20000</v>
      </c>
      <c r="I259" s="135">
        <f t="shared" si="99"/>
        <v>20000</v>
      </c>
    </row>
    <row r="260" spans="1:9" x14ac:dyDescent="0.25">
      <c r="A260" s="290" t="s">
        <v>263</v>
      </c>
      <c r="B260" s="291">
        <v>303</v>
      </c>
      <c r="C260" s="6" t="s">
        <v>42</v>
      </c>
      <c r="D260" s="6" t="s">
        <v>33</v>
      </c>
      <c r="E260" s="20"/>
      <c r="F260" s="142"/>
      <c r="G260" s="150">
        <f>G261</f>
        <v>40000</v>
      </c>
      <c r="H260" s="150">
        <f t="shared" ref="H260:I263" si="100">H261</f>
        <v>0</v>
      </c>
      <c r="I260" s="150">
        <f t="shared" si="100"/>
        <v>0</v>
      </c>
    </row>
    <row r="261" spans="1:9" ht="31.5" x14ac:dyDescent="0.25">
      <c r="A261" s="290" t="s">
        <v>139</v>
      </c>
      <c r="B261" s="291">
        <v>303</v>
      </c>
      <c r="C261" s="6" t="s">
        <v>42</v>
      </c>
      <c r="D261" s="6" t="s">
        <v>33</v>
      </c>
      <c r="E261" s="18" t="s">
        <v>140</v>
      </c>
      <c r="F261" s="295"/>
      <c r="G261" s="150">
        <f>G262</f>
        <v>40000</v>
      </c>
      <c r="H261" s="150">
        <f t="shared" si="100"/>
        <v>0</v>
      </c>
      <c r="I261" s="150">
        <f t="shared" si="100"/>
        <v>0</v>
      </c>
    </row>
    <row r="262" spans="1:9" ht="31.5" x14ac:dyDescent="0.25">
      <c r="A262" s="292" t="s">
        <v>264</v>
      </c>
      <c r="B262" s="293">
        <v>303</v>
      </c>
      <c r="C262" s="7" t="s">
        <v>42</v>
      </c>
      <c r="D262" s="7" t="s">
        <v>33</v>
      </c>
      <c r="E262" s="294" t="s">
        <v>267</v>
      </c>
      <c r="F262" s="295"/>
      <c r="G262" s="287">
        <f>G263</f>
        <v>40000</v>
      </c>
      <c r="H262" s="287">
        <f t="shared" si="100"/>
        <v>0</v>
      </c>
      <c r="I262" s="287">
        <f t="shared" si="100"/>
        <v>0</v>
      </c>
    </row>
    <row r="263" spans="1:9" ht="31.5" x14ac:dyDescent="0.25">
      <c r="A263" s="292" t="s">
        <v>265</v>
      </c>
      <c r="B263" s="293">
        <v>303</v>
      </c>
      <c r="C263" s="7" t="s">
        <v>42</v>
      </c>
      <c r="D263" s="7" t="s">
        <v>33</v>
      </c>
      <c r="E263" s="294" t="s">
        <v>267</v>
      </c>
      <c r="F263" s="295" t="s">
        <v>268</v>
      </c>
      <c r="G263" s="287">
        <f>G264</f>
        <v>40000</v>
      </c>
      <c r="H263" s="287">
        <f t="shared" si="100"/>
        <v>0</v>
      </c>
      <c r="I263" s="287">
        <f t="shared" si="100"/>
        <v>0</v>
      </c>
    </row>
    <row r="264" spans="1:9" ht="31.5" x14ac:dyDescent="0.25">
      <c r="A264" s="292" t="s">
        <v>266</v>
      </c>
      <c r="B264" s="293">
        <v>303</v>
      </c>
      <c r="C264" s="7" t="s">
        <v>42</v>
      </c>
      <c r="D264" s="7" t="s">
        <v>33</v>
      </c>
      <c r="E264" s="294" t="s">
        <v>267</v>
      </c>
      <c r="F264" s="295" t="s">
        <v>269</v>
      </c>
      <c r="G264" s="287">
        <f>40000</f>
        <v>40000</v>
      </c>
      <c r="H264" s="287">
        <v>0</v>
      </c>
      <c r="I264" s="287">
        <v>0</v>
      </c>
    </row>
    <row r="265" spans="1:9" ht="36.6" customHeight="1" x14ac:dyDescent="0.25">
      <c r="A265" s="147" t="s">
        <v>176</v>
      </c>
      <c r="B265" s="118">
        <v>303</v>
      </c>
      <c r="C265" s="6" t="s">
        <v>42</v>
      </c>
      <c r="D265" s="6" t="s">
        <v>39</v>
      </c>
      <c r="E265" s="148"/>
      <c r="F265" s="18"/>
      <c r="G265" s="135">
        <f t="shared" ref="G265:G269" si="101">G266</f>
        <v>140449.28000000003</v>
      </c>
      <c r="H265" s="135">
        <f t="shared" ref="H265:I269" si="102">H266</f>
        <v>20000</v>
      </c>
      <c r="I265" s="135">
        <f t="shared" si="102"/>
        <v>20000</v>
      </c>
    </row>
    <row r="266" spans="1:9" ht="31.5" x14ac:dyDescent="0.25">
      <c r="A266" s="144" t="s">
        <v>139</v>
      </c>
      <c r="B266" s="118">
        <v>303</v>
      </c>
      <c r="C266" s="6" t="s">
        <v>42</v>
      </c>
      <c r="D266" s="6" t="s">
        <v>39</v>
      </c>
      <c r="E266" s="18" t="s">
        <v>140</v>
      </c>
      <c r="F266" s="18"/>
      <c r="G266" s="136">
        <f t="shared" si="101"/>
        <v>140449.28000000003</v>
      </c>
      <c r="H266" s="136">
        <f t="shared" si="102"/>
        <v>20000</v>
      </c>
      <c r="I266" s="136">
        <f t="shared" si="102"/>
        <v>20000</v>
      </c>
    </row>
    <row r="267" spans="1:9" ht="37.9" customHeight="1" x14ac:dyDescent="0.25">
      <c r="A267" s="144" t="s">
        <v>141</v>
      </c>
      <c r="B267" s="118">
        <v>303</v>
      </c>
      <c r="C267" s="6" t="s">
        <v>42</v>
      </c>
      <c r="D267" s="6" t="s">
        <v>39</v>
      </c>
      <c r="E267" s="18" t="s">
        <v>142</v>
      </c>
      <c r="F267" s="18"/>
      <c r="G267" s="136">
        <f t="shared" si="101"/>
        <v>140449.28000000003</v>
      </c>
      <c r="H267" s="136">
        <f t="shared" si="102"/>
        <v>20000</v>
      </c>
      <c r="I267" s="136">
        <f t="shared" si="102"/>
        <v>20000</v>
      </c>
    </row>
    <row r="268" spans="1:9" ht="31.5" x14ac:dyDescent="0.25">
      <c r="A268" s="145" t="s">
        <v>143</v>
      </c>
      <c r="B268" s="143">
        <v>303</v>
      </c>
      <c r="C268" s="7" t="s">
        <v>42</v>
      </c>
      <c r="D268" s="7" t="s">
        <v>39</v>
      </c>
      <c r="E268" s="20" t="s">
        <v>144</v>
      </c>
      <c r="F268" s="20"/>
      <c r="G268" s="136">
        <f t="shared" si="101"/>
        <v>140449.28000000003</v>
      </c>
      <c r="H268" s="136">
        <f t="shared" si="102"/>
        <v>20000</v>
      </c>
      <c r="I268" s="136">
        <f t="shared" si="102"/>
        <v>20000</v>
      </c>
    </row>
    <row r="269" spans="1:9" ht="31.5" x14ac:dyDescent="0.25">
      <c r="A269" s="146" t="s">
        <v>65</v>
      </c>
      <c r="B269" s="143">
        <v>303</v>
      </c>
      <c r="C269" s="7" t="s">
        <v>42</v>
      </c>
      <c r="D269" s="7" t="s">
        <v>39</v>
      </c>
      <c r="E269" s="20" t="s">
        <v>144</v>
      </c>
      <c r="F269" s="20">
        <v>200</v>
      </c>
      <c r="G269" s="136">
        <f t="shared" si="101"/>
        <v>140449.28000000003</v>
      </c>
      <c r="H269" s="136">
        <f t="shared" si="102"/>
        <v>20000</v>
      </c>
      <c r="I269" s="136">
        <f t="shared" si="102"/>
        <v>20000</v>
      </c>
    </row>
    <row r="270" spans="1:9" ht="47.25" x14ac:dyDescent="0.25">
      <c r="A270" s="146" t="s">
        <v>28</v>
      </c>
      <c r="B270" s="143">
        <v>303</v>
      </c>
      <c r="C270" s="7" t="s">
        <v>42</v>
      </c>
      <c r="D270" s="7" t="s">
        <v>39</v>
      </c>
      <c r="E270" s="20" t="s">
        <v>144</v>
      </c>
      <c r="F270" s="20">
        <v>240</v>
      </c>
      <c r="G270" s="136">
        <f>40000+3000+4000+10000+1825+20065.29+10000+258.99+51300</f>
        <v>140449.28000000003</v>
      </c>
      <c r="H270" s="136">
        <f>20000</f>
        <v>20000</v>
      </c>
      <c r="I270" s="136">
        <f>20000</f>
        <v>20000</v>
      </c>
    </row>
    <row r="271" spans="1:9" ht="17.649999999999999" customHeight="1" x14ac:dyDescent="0.25">
      <c r="A271" s="137" t="s">
        <v>19</v>
      </c>
      <c r="B271" s="118">
        <v>303</v>
      </c>
      <c r="C271" s="6" t="s">
        <v>40</v>
      </c>
      <c r="D271" s="6" t="s">
        <v>35</v>
      </c>
      <c r="E271" s="138"/>
      <c r="F271" s="139"/>
      <c r="G271" s="135">
        <f>G272</f>
        <v>157956</v>
      </c>
      <c r="H271" s="135">
        <f t="shared" ref="H271:I275" si="103">H272</f>
        <v>5000</v>
      </c>
      <c r="I271" s="135">
        <f t="shared" si="103"/>
        <v>5000</v>
      </c>
    </row>
    <row r="272" spans="1:9" ht="16.899999999999999" customHeight="1" x14ac:dyDescent="0.25">
      <c r="A272" s="137" t="s">
        <v>20</v>
      </c>
      <c r="B272" s="118">
        <v>303</v>
      </c>
      <c r="C272" s="6" t="s">
        <v>40</v>
      </c>
      <c r="D272" s="6" t="s">
        <v>36</v>
      </c>
      <c r="E272" s="138"/>
      <c r="F272" s="141"/>
      <c r="G272" s="135">
        <f>G273</f>
        <v>157956</v>
      </c>
      <c r="H272" s="135">
        <f t="shared" si="103"/>
        <v>5000</v>
      </c>
      <c r="I272" s="135">
        <f t="shared" si="103"/>
        <v>5000</v>
      </c>
    </row>
    <row r="273" spans="1:19" ht="31.5" x14ac:dyDescent="0.25">
      <c r="A273" s="149" t="s">
        <v>145</v>
      </c>
      <c r="B273" s="118">
        <v>303</v>
      </c>
      <c r="C273" s="6" t="s">
        <v>40</v>
      </c>
      <c r="D273" s="6" t="s">
        <v>36</v>
      </c>
      <c r="E273" s="18" t="s">
        <v>146</v>
      </c>
      <c r="F273" s="18"/>
      <c r="G273" s="150">
        <f>G274+G280+G277</f>
        <v>157956</v>
      </c>
      <c r="H273" s="150">
        <f t="shared" ref="H273:I273" si="104">H274+H280</f>
        <v>5000</v>
      </c>
      <c r="I273" s="150">
        <f t="shared" si="104"/>
        <v>5000</v>
      </c>
    </row>
    <row r="274" spans="1:19" ht="31.5" x14ac:dyDescent="0.25">
      <c r="A274" s="149" t="s">
        <v>147</v>
      </c>
      <c r="B274" s="118">
        <v>303</v>
      </c>
      <c r="C274" s="6" t="s">
        <v>40</v>
      </c>
      <c r="D274" s="6" t="s">
        <v>36</v>
      </c>
      <c r="E274" s="18" t="s">
        <v>148</v>
      </c>
      <c r="F274" s="18"/>
      <c r="G274" s="150">
        <f>G275</f>
        <v>15000</v>
      </c>
      <c r="H274" s="150">
        <f t="shared" si="103"/>
        <v>5000</v>
      </c>
      <c r="I274" s="150">
        <f t="shared" si="103"/>
        <v>5000</v>
      </c>
    </row>
    <row r="275" spans="1:19" ht="31.5" x14ac:dyDescent="0.25">
      <c r="A275" s="146" t="s">
        <v>65</v>
      </c>
      <c r="B275" s="143">
        <v>303</v>
      </c>
      <c r="C275" s="7" t="s">
        <v>40</v>
      </c>
      <c r="D275" s="7" t="s">
        <v>36</v>
      </c>
      <c r="E275" s="20" t="s">
        <v>148</v>
      </c>
      <c r="F275" s="20">
        <v>200</v>
      </c>
      <c r="G275" s="133">
        <f>G276</f>
        <v>15000</v>
      </c>
      <c r="H275" s="133">
        <f t="shared" si="103"/>
        <v>5000</v>
      </c>
      <c r="I275" s="133">
        <f t="shared" si="103"/>
        <v>5000</v>
      </c>
    </row>
    <row r="276" spans="1:19" ht="51.6" customHeight="1" x14ac:dyDescent="0.25">
      <c r="A276" s="146" t="s">
        <v>28</v>
      </c>
      <c r="B276" s="143">
        <v>303</v>
      </c>
      <c r="C276" s="7" t="s">
        <v>40</v>
      </c>
      <c r="D276" s="7" t="s">
        <v>36</v>
      </c>
      <c r="E276" s="20" t="s">
        <v>148</v>
      </c>
      <c r="F276" s="20">
        <v>240</v>
      </c>
      <c r="G276" s="133">
        <f>5000+10000</f>
        <v>15000</v>
      </c>
      <c r="H276" s="133">
        <f>5000</f>
        <v>5000</v>
      </c>
      <c r="I276" s="133">
        <f>5000</f>
        <v>5000</v>
      </c>
    </row>
    <row r="277" spans="1:19" ht="51.6" customHeight="1" x14ac:dyDescent="0.25">
      <c r="A277" s="144" t="s">
        <v>241</v>
      </c>
      <c r="B277" s="303">
        <v>303</v>
      </c>
      <c r="C277" s="6" t="s">
        <v>40</v>
      </c>
      <c r="D277" s="6" t="s">
        <v>36</v>
      </c>
      <c r="E277" s="18" t="s">
        <v>291</v>
      </c>
      <c r="F277" s="191"/>
      <c r="G277" s="150">
        <f>G278</f>
        <v>138740</v>
      </c>
      <c r="H277" s="150">
        <f t="shared" ref="H277:I278" si="105">H278</f>
        <v>0</v>
      </c>
      <c r="I277" s="150">
        <f t="shared" si="105"/>
        <v>0</v>
      </c>
    </row>
    <row r="278" spans="1:19" ht="51.6" customHeight="1" x14ac:dyDescent="0.25">
      <c r="A278" s="146" t="s">
        <v>65</v>
      </c>
      <c r="B278" s="143">
        <v>303</v>
      </c>
      <c r="C278" s="7" t="s">
        <v>40</v>
      </c>
      <c r="D278" s="7" t="s">
        <v>36</v>
      </c>
      <c r="E278" s="20" t="s">
        <v>291</v>
      </c>
      <c r="F278" s="142">
        <v>200</v>
      </c>
      <c r="G278" s="302">
        <f>G279</f>
        <v>138740</v>
      </c>
      <c r="H278" s="302">
        <f t="shared" si="105"/>
        <v>0</v>
      </c>
      <c r="I278" s="302">
        <f t="shared" si="105"/>
        <v>0</v>
      </c>
    </row>
    <row r="279" spans="1:19" ht="51.6" customHeight="1" x14ac:dyDescent="0.25">
      <c r="A279" s="146" t="s">
        <v>28</v>
      </c>
      <c r="B279" s="143">
        <v>303</v>
      </c>
      <c r="C279" s="7" t="s">
        <v>40</v>
      </c>
      <c r="D279" s="7" t="s">
        <v>36</v>
      </c>
      <c r="E279" s="20" t="s">
        <v>291</v>
      </c>
      <c r="F279" s="142">
        <v>240</v>
      </c>
      <c r="G279" s="302">
        <f>138740</f>
        <v>138740</v>
      </c>
      <c r="H279" s="302">
        <v>0</v>
      </c>
      <c r="I279" s="302">
        <v>0</v>
      </c>
    </row>
    <row r="280" spans="1:19" ht="51.6" customHeight="1" x14ac:dyDescent="0.25">
      <c r="A280" s="144" t="s">
        <v>290</v>
      </c>
      <c r="B280" s="303">
        <v>303</v>
      </c>
      <c r="C280" s="6" t="s">
        <v>40</v>
      </c>
      <c r="D280" s="6" t="s">
        <v>36</v>
      </c>
      <c r="E280" s="18" t="s">
        <v>289</v>
      </c>
      <c r="F280" s="191"/>
      <c r="G280" s="150">
        <f>G281</f>
        <v>4216</v>
      </c>
      <c r="H280" s="150">
        <f t="shared" ref="H280:I281" si="106">H281</f>
        <v>0</v>
      </c>
      <c r="I280" s="150">
        <f t="shared" si="106"/>
        <v>0</v>
      </c>
    </row>
    <row r="281" spans="1:19" ht="44.45" customHeight="1" x14ac:dyDescent="0.25">
      <c r="A281" s="146" t="s">
        <v>65</v>
      </c>
      <c r="B281" s="143">
        <v>303</v>
      </c>
      <c r="C281" s="7" t="s">
        <v>40</v>
      </c>
      <c r="D281" s="7" t="s">
        <v>36</v>
      </c>
      <c r="E281" s="20" t="s">
        <v>289</v>
      </c>
      <c r="F281" s="142">
        <v>200</v>
      </c>
      <c r="G281" s="302">
        <f>G282</f>
        <v>4216</v>
      </c>
      <c r="H281" s="302">
        <f t="shared" si="106"/>
        <v>0</v>
      </c>
      <c r="I281" s="302">
        <f t="shared" si="106"/>
        <v>0</v>
      </c>
    </row>
    <row r="282" spans="1:19" ht="51.6" customHeight="1" x14ac:dyDescent="0.25">
      <c r="A282" s="146" t="s">
        <v>28</v>
      </c>
      <c r="B282" s="143">
        <v>303</v>
      </c>
      <c r="C282" s="7" t="s">
        <v>40</v>
      </c>
      <c r="D282" s="7" t="s">
        <v>36</v>
      </c>
      <c r="E282" s="20" t="s">
        <v>289</v>
      </c>
      <c r="F282" s="142">
        <v>240</v>
      </c>
      <c r="G282" s="302">
        <v>4216</v>
      </c>
      <c r="H282" s="302">
        <v>0</v>
      </c>
      <c r="I282" s="302">
        <v>0</v>
      </c>
    </row>
    <row r="283" spans="1:19" s="175" customFormat="1" ht="21" customHeight="1" x14ac:dyDescent="0.25">
      <c r="A283" s="137" t="s">
        <v>150</v>
      </c>
      <c r="B283" s="404"/>
      <c r="C283" s="404"/>
      <c r="D283" s="404"/>
      <c r="E283" s="404"/>
      <c r="F283" s="404"/>
      <c r="G283" s="150">
        <v>0</v>
      </c>
      <c r="H283" s="150">
        <v>270000</v>
      </c>
      <c r="I283" s="150">
        <v>520000</v>
      </c>
      <c r="M283" s="390" t="s">
        <v>217</v>
      </c>
      <c r="N283" s="390"/>
      <c r="O283" s="390"/>
      <c r="P283" s="390"/>
      <c r="Q283" s="390"/>
      <c r="R283" s="390"/>
      <c r="S283" s="390"/>
    </row>
    <row r="284" spans="1:19" ht="25.15" customHeight="1" x14ac:dyDescent="0.25">
      <c r="A284" s="396" t="s">
        <v>46</v>
      </c>
      <c r="B284" s="397"/>
      <c r="C284" s="397"/>
      <c r="D284" s="397"/>
      <c r="E284" s="397"/>
      <c r="F284" s="398"/>
      <c r="G284" s="150">
        <f>G283+G16</f>
        <v>22137776.952250004</v>
      </c>
      <c r="H284" s="150">
        <f>H283+H16</f>
        <v>14763817.539999999</v>
      </c>
      <c r="I284" s="150">
        <f>I283+I16</f>
        <v>14364950</v>
      </c>
      <c r="M284" s="390"/>
      <c r="N284" s="390"/>
      <c r="O284" s="390"/>
      <c r="P284" s="390"/>
      <c r="Q284" s="390"/>
      <c r="R284" s="390"/>
      <c r="S284" s="390"/>
    </row>
    <row r="285" spans="1:19" x14ac:dyDescent="0.25">
      <c r="A285" s="198"/>
      <c r="B285" s="199"/>
      <c r="C285" s="200"/>
      <c r="D285" s="199"/>
      <c r="E285" s="399" t="s">
        <v>215</v>
      </c>
      <c r="F285" s="399"/>
      <c r="G285" s="176">
        <v>14332270</v>
      </c>
      <c r="H285" s="176">
        <v>14206700</v>
      </c>
      <c r="I285" s="176">
        <v>14364950</v>
      </c>
      <c r="M285" s="390"/>
      <c r="N285" s="390"/>
      <c r="O285" s="390"/>
      <c r="P285" s="390"/>
      <c r="Q285" s="390"/>
      <c r="R285" s="390"/>
      <c r="S285" s="390"/>
    </row>
    <row r="286" spans="1:19" x14ac:dyDescent="0.25">
      <c r="A286" s="198"/>
      <c r="B286" s="199"/>
      <c r="C286" s="200"/>
      <c r="D286" s="199"/>
      <c r="E286" s="391" t="s">
        <v>191</v>
      </c>
      <c r="F286" s="391"/>
      <c r="G286" s="201">
        <f>G284-G285</f>
        <v>7805506.9522500038</v>
      </c>
      <c r="H286" s="201">
        <f>H284-H285</f>
        <v>557117.53999999911</v>
      </c>
      <c r="I286" s="201">
        <f>I284-I285</f>
        <v>0</v>
      </c>
      <c r="M286" s="390"/>
      <c r="N286" s="390"/>
      <c r="O286" s="390"/>
      <c r="P286" s="390"/>
      <c r="Q286" s="390"/>
      <c r="R286" s="390"/>
      <c r="S286" s="390"/>
    </row>
    <row r="287" spans="1:19" x14ac:dyDescent="0.25">
      <c r="A287" s="199"/>
      <c r="B287" s="199"/>
      <c r="C287" s="200"/>
      <c r="D287" s="391" t="s">
        <v>179</v>
      </c>
      <c r="E287" s="391"/>
      <c r="F287" s="392"/>
      <c r="G287" s="202">
        <f>G218+G37</f>
        <v>1615800</v>
      </c>
      <c r="H287" s="202">
        <f>H218+H37</f>
        <v>1615800</v>
      </c>
      <c r="I287" s="202">
        <f>I218+I37</f>
        <v>1615800</v>
      </c>
      <c r="M287" s="390"/>
      <c r="N287" s="390"/>
      <c r="O287" s="390"/>
      <c r="P287" s="390"/>
      <c r="Q287" s="390"/>
      <c r="R287" s="390"/>
      <c r="S287" s="390"/>
    </row>
    <row r="288" spans="1:19" x14ac:dyDescent="0.25">
      <c r="A288" s="199"/>
      <c r="B288" s="199"/>
      <c r="C288" s="200"/>
      <c r="D288" s="391" t="s">
        <v>180</v>
      </c>
      <c r="E288" s="391"/>
      <c r="F288" s="392"/>
      <c r="G288" s="202">
        <f>G182+G156+G174</f>
        <v>1080906.9000000001</v>
      </c>
      <c r="H288" s="202">
        <f>H182+H156+H174</f>
        <v>1080906.8999999999</v>
      </c>
      <c r="I288" s="202">
        <f>I182+I156+I174</f>
        <v>1080906.8999999999</v>
      </c>
      <c r="M288" s="390"/>
      <c r="N288" s="390"/>
      <c r="O288" s="390"/>
      <c r="P288" s="390"/>
      <c r="Q288" s="390"/>
      <c r="R288" s="390"/>
      <c r="S288" s="390"/>
    </row>
    <row r="289" spans="1:14" x14ac:dyDescent="0.25">
      <c r="A289" s="203"/>
      <c r="B289" s="391" t="s">
        <v>257</v>
      </c>
      <c r="C289" s="391"/>
      <c r="D289" s="391"/>
      <c r="E289" s="391"/>
      <c r="F289" s="392"/>
      <c r="G289" s="204">
        <v>1615800</v>
      </c>
      <c r="H289" s="204">
        <v>1615800</v>
      </c>
      <c r="I289" s="204">
        <v>1615800</v>
      </c>
    </row>
    <row r="290" spans="1:14" x14ac:dyDescent="0.25">
      <c r="A290" s="199"/>
      <c r="B290" s="199"/>
      <c r="C290" s="200"/>
      <c r="D290" s="199"/>
      <c r="E290" s="391" t="s">
        <v>258</v>
      </c>
      <c r="F290" s="392"/>
      <c r="G290" s="204">
        <f>G289-G287</f>
        <v>0</v>
      </c>
      <c r="H290" s="204">
        <f t="shared" ref="H290:I290" si="107">H289-H287</f>
        <v>0</v>
      </c>
      <c r="I290" s="204">
        <f t="shared" si="107"/>
        <v>0</v>
      </c>
    </row>
    <row r="291" spans="1:14" x14ac:dyDescent="0.25">
      <c r="A291" s="199"/>
      <c r="B291" s="199"/>
      <c r="C291" s="200"/>
      <c r="D291" s="199"/>
      <c r="E291" s="199"/>
      <c r="F291" s="199"/>
      <c r="G291" s="204"/>
      <c r="H291" s="204"/>
      <c r="I291" s="204"/>
      <c r="N291" s="283"/>
    </row>
    <row r="292" spans="1:14" x14ac:dyDescent="0.25">
      <c r="A292" s="199"/>
      <c r="B292" s="199"/>
      <c r="C292" s="200"/>
      <c r="D292" s="199"/>
      <c r="E292" s="199"/>
      <c r="F292" s="199"/>
      <c r="G292" s="205"/>
      <c r="H292" s="206" t="s">
        <v>218</v>
      </c>
      <c r="I292" s="206"/>
    </row>
    <row r="293" spans="1:14" x14ac:dyDescent="0.25">
      <c r="A293" s="199"/>
      <c r="B293" s="199"/>
      <c r="C293" s="200"/>
      <c r="D293" s="199"/>
      <c r="E293" s="199"/>
      <c r="F293" s="207"/>
      <c r="G293" s="208"/>
      <c r="H293" s="209">
        <f>((H284-H283)-H287-H288-H237-H87-H73-H42-H193-H116-H103)*2.5%</f>
        <v>230406.13249999998</v>
      </c>
      <c r="I293" s="209">
        <f>((I284-I283)-I287-I288-I237-I87-I73-I42-I193-I116-I103)*5%</f>
        <v>453269.07749999996</v>
      </c>
    </row>
    <row r="294" spans="1:14" x14ac:dyDescent="0.25">
      <c r="A294" s="199"/>
      <c r="B294" s="199"/>
      <c r="C294" s="200"/>
      <c r="D294" s="199"/>
      <c r="E294" s="199"/>
      <c r="F294" s="199"/>
      <c r="G294" s="204"/>
      <c r="H294" s="204"/>
      <c r="I294" s="204"/>
    </row>
    <row r="295" spans="1:14" x14ac:dyDescent="0.25">
      <c r="A295" s="199"/>
      <c r="B295" s="199"/>
      <c r="C295" s="200"/>
      <c r="D295" s="199"/>
      <c r="E295" s="199"/>
      <c r="F295" s="199"/>
      <c r="G295" s="204"/>
      <c r="H295" s="204"/>
      <c r="I295" s="204"/>
    </row>
    <row r="296" spans="1:14" x14ac:dyDescent="0.25">
      <c r="A296" s="199"/>
      <c r="B296" s="199"/>
      <c r="C296" s="200"/>
      <c r="D296" s="199"/>
      <c r="E296" s="199"/>
      <c r="F296" s="199"/>
      <c r="G296" s="204"/>
      <c r="H296" s="204"/>
      <c r="I296" s="204"/>
    </row>
    <row r="297" spans="1:14" x14ac:dyDescent="0.25">
      <c r="A297" s="199"/>
      <c r="B297" s="199"/>
      <c r="C297" s="200"/>
      <c r="D297" s="199"/>
      <c r="E297" s="199"/>
      <c r="F297" s="199"/>
      <c r="G297" s="201"/>
      <c r="H297" s="201"/>
      <c r="I297" s="201"/>
    </row>
    <row r="298" spans="1:14" x14ac:dyDescent="0.25">
      <c r="A298" s="199"/>
      <c r="B298" s="199"/>
      <c r="C298" s="200"/>
      <c r="D298" s="199"/>
      <c r="E298" s="199"/>
      <c r="F298" s="199"/>
      <c r="G298" s="201"/>
      <c r="H298" s="201"/>
      <c r="I298" s="201"/>
    </row>
    <row r="299" spans="1:14" x14ac:dyDescent="0.25">
      <c r="A299" s="199"/>
      <c r="B299" s="199"/>
      <c r="C299" s="200"/>
      <c r="D299" s="199"/>
      <c r="E299" s="199"/>
      <c r="F299" s="199"/>
      <c r="G299" s="201"/>
      <c r="H299" s="201"/>
      <c r="I299" s="201"/>
    </row>
    <row r="300" spans="1:14" x14ac:dyDescent="0.25">
      <c r="A300" s="199"/>
      <c r="B300" s="199"/>
      <c r="C300" s="200"/>
      <c r="D300" s="199"/>
      <c r="E300" s="199"/>
      <c r="F300" s="199"/>
      <c r="G300" s="201"/>
      <c r="H300" s="201"/>
      <c r="I300" s="201"/>
    </row>
    <row r="301" spans="1:14" x14ac:dyDescent="0.25">
      <c r="A301" s="199"/>
      <c r="B301" s="199"/>
      <c r="C301" s="200"/>
      <c r="D301" s="199"/>
      <c r="E301" s="199"/>
      <c r="F301" s="199"/>
      <c r="G301" s="201"/>
      <c r="H301" s="201"/>
      <c r="I301" s="201"/>
    </row>
    <row r="302" spans="1:14" x14ac:dyDescent="0.25">
      <c r="A302" s="199"/>
      <c r="B302" s="199"/>
      <c r="C302" s="200"/>
      <c r="D302" s="199"/>
      <c r="E302" s="199"/>
      <c r="F302" s="199"/>
      <c r="G302" s="201"/>
      <c r="H302" s="201"/>
      <c r="I302" s="201"/>
    </row>
    <row r="303" spans="1:14" x14ac:dyDescent="0.25">
      <c r="A303" s="199"/>
      <c r="B303" s="199"/>
      <c r="C303" s="200"/>
      <c r="D303" s="199"/>
      <c r="E303" s="199"/>
      <c r="F303" s="199"/>
      <c r="G303" s="201"/>
      <c r="H303" s="201"/>
      <c r="I303" s="201"/>
    </row>
    <row r="304" spans="1:14" x14ac:dyDescent="0.25">
      <c r="A304" s="199"/>
      <c r="B304" s="199"/>
      <c r="C304" s="200"/>
      <c r="D304" s="199"/>
      <c r="E304" s="199"/>
      <c r="F304" s="199"/>
      <c r="G304" s="201"/>
      <c r="H304" s="201"/>
      <c r="I304" s="201"/>
    </row>
    <row r="305" spans="1:9" x14ac:dyDescent="0.25">
      <c r="A305" s="199"/>
      <c r="B305" s="199"/>
      <c r="C305" s="200"/>
      <c r="D305" s="199"/>
      <c r="E305" s="199"/>
      <c r="F305" s="199"/>
      <c r="G305" s="201"/>
      <c r="H305" s="201"/>
      <c r="I305" s="201"/>
    </row>
    <row r="306" spans="1:9" x14ac:dyDescent="0.25">
      <c r="A306" s="199"/>
      <c r="B306" s="199"/>
      <c r="C306" s="200"/>
      <c r="D306" s="199"/>
      <c r="E306" s="199"/>
      <c r="F306" s="199"/>
      <c r="G306" s="201"/>
      <c r="H306" s="201"/>
      <c r="I306" s="201"/>
    </row>
    <row r="307" spans="1:9" x14ac:dyDescent="0.25">
      <c r="A307" s="199"/>
      <c r="B307" s="199"/>
      <c r="C307" s="200"/>
      <c r="D307" s="199"/>
      <c r="E307" s="199"/>
      <c r="F307" s="199"/>
      <c r="G307" s="201"/>
      <c r="H307" s="201"/>
      <c r="I307" s="201"/>
    </row>
    <row r="308" spans="1:9" x14ac:dyDescent="0.25">
      <c r="A308" s="199"/>
      <c r="B308" s="199"/>
      <c r="C308" s="200"/>
      <c r="D308" s="199"/>
      <c r="E308" s="199"/>
      <c r="F308" s="199"/>
      <c r="G308" s="201"/>
      <c r="H308" s="201"/>
      <c r="I308" s="201"/>
    </row>
    <row r="309" spans="1:9" x14ac:dyDescent="0.25">
      <c r="A309" s="199"/>
      <c r="B309" s="199"/>
      <c r="C309" s="200"/>
      <c r="D309" s="199"/>
      <c r="E309" s="199"/>
      <c r="F309" s="199"/>
      <c r="G309" s="201"/>
      <c r="H309" s="201"/>
      <c r="I309" s="201"/>
    </row>
    <row r="310" spans="1:9" x14ac:dyDescent="0.25">
      <c r="A310" s="199"/>
      <c r="B310" s="199"/>
      <c r="C310" s="200"/>
      <c r="D310" s="199"/>
      <c r="E310" s="199"/>
      <c r="F310" s="199"/>
      <c r="G310" s="201"/>
      <c r="H310" s="201"/>
      <c r="I310" s="201"/>
    </row>
    <row r="311" spans="1:9" x14ac:dyDescent="0.25">
      <c r="A311" s="199"/>
      <c r="B311" s="199"/>
      <c r="C311" s="200"/>
      <c r="D311" s="199"/>
      <c r="E311" s="199"/>
      <c r="F311" s="199"/>
      <c r="G311" s="201"/>
      <c r="H311" s="201"/>
      <c r="I311" s="201"/>
    </row>
    <row r="312" spans="1:9" x14ac:dyDescent="0.25">
      <c r="A312" s="199"/>
      <c r="B312" s="199"/>
      <c r="C312" s="200"/>
      <c r="D312" s="199"/>
      <c r="E312" s="199"/>
      <c r="F312" s="199"/>
      <c r="G312" s="201"/>
      <c r="H312" s="201"/>
      <c r="I312" s="201"/>
    </row>
    <row r="313" spans="1:9" x14ac:dyDescent="0.25">
      <c r="A313" s="199"/>
      <c r="B313" s="199"/>
      <c r="C313" s="200"/>
      <c r="D313" s="199"/>
      <c r="E313" s="199"/>
      <c r="F313" s="199"/>
      <c r="G313" s="201"/>
      <c r="H313" s="201"/>
      <c r="I313" s="201"/>
    </row>
    <row r="314" spans="1:9" x14ac:dyDescent="0.25">
      <c r="A314" s="199"/>
      <c r="B314" s="199"/>
      <c r="C314" s="200"/>
      <c r="D314" s="199"/>
      <c r="E314" s="199"/>
      <c r="F314" s="199"/>
      <c r="G314" s="201"/>
      <c r="H314" s="201"/>
      <c r="I314" s="201"/>
    </row>
    <row r="315" spans="1:9" x14ac:dyDescent="0.25">
      <c r="A315" s="199"/>
      <c r="B315" s="199"/>
      <c r="C315" s="200"/>
      <c r="D315" s="199"/>
      <c r="E315" s="199"/>
      <c r="F315" s="199"/>
      <c r="G315" s="201"/>
      <c r="H315" s="201"/>
      <c r="I315" s="201"/>
    </row>
    <row r="316" spans="1:9" x14ac:dyDescent="0.25">
      <c r="A316" s="199"/>
      <c r="B316" s="199"/>
      <c r="C316" s="200"/>
      <c r="D316" s="199"/>
      <c r="E316" s="199"/>
      <c r="F316" s="199"/>
      <c r="G316" s="201"/>
      <c r="H316" s="201"/>
      <c r="I316" s="201"/>
    </row>
    <row r="317" spans="1:9" x14ac:dyDescent="0.25">
      <c r="A317" s="199"/>
      <c r="B317" s="199"/>
      <c r="C317" s="200"/>
      <c r="D317" s="199"/>
      <c r="E317" s="199"/>
      <c r="F317" s="199"/>
      <c r="G317" s="201"/>
      <c r="H317" s="201"/>
      <c r="I317" s="201"/>
    </row>
    <row r="318" spans="1:9" x14ac:dyDescent="0.25">
      <c r="A318" s="199"/>
      <c r="B318" s="199"/>
      <c r="C318" s="200"/>
      <c r="D318" s="199"/>
      <c r="E318" s="199"/>
      <c r="F318" s="199"/>
      <c r="G318" s="201"/>
      <c r="H318" s="201"/>
      <c r="I318" s="201"/>
    </row>
  </sheetData>
  <mergeCells count="27">
    <mergeCell ref="B2:I2"/>
    <mergeCell ref="B3:I3"/>
    <mergeCell ref="B4:I4"/>
    <mergeCell ref="B5:I5"/>
    <mergeCell ref="B283:F283"/>
    <mergeCell ref="F8:I8"/>
    <mergeCell ref="F9:I9"/>
    <mergeCell ref="F10:I10"/>
    <mergeCell ref="F11:I11"/>
    <mergeCell ref="A13:I13"/>
    <mergeCell ref="E14:E15"/>
    <mergeCell ref="M283:S288"/>
    <mergeCell ref="B289:F289"/>
    <mergeCell ref="E290:F290"/>
    <mergeCell ref="G12:I12"/>
    <mergeCell ref="G14:I14"/>
    <mergeCell ref="F14:F15"/>
    <mergeCell ref="D287:F287"/>
    <mergeCell ref="D288:F288"/>
    <mergeCell ref="A284:F284"/>
    <mergeCell ref="E285:F285"/>
    <mergeCell ref="E286:F286"/>
    <mergeCell ref="A14:A15"/>
    <mergeCell ref="B14:B15"/>
    <mergeCell ref="C14:C15"/>
    <mergeCell ref="D14:D15"/>
    <mergeCell ref="K184:O184"/>
  </mergeCells>
  <pageMargins left="0.59055118110236227" right="0.19685039370078741" top="0.39370078740157483" bottom="0.39370078740157483" header="0.31496062992125984" footer="0.31496062992125984"/>
  <pageSetup paperSize="9" scale="61" orientation="portrait" r:id="rId1"/>
  <rowBreaks count="1" manualBreakCount="1">
    <brk id="22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R292"/>
  <sheetViews>
    <sheetView tabSelected="1" view="pageBreakPreview" zoomScale="86" zoomScaleNormal="100" zoomScaleSheetLayoutView="86" workbookViewId="0">
      <selection activeCell="O8" sqref="O8"/>
    </sheetView>
  </sheetViews>
  <sheetFormatPr defaultColWidth="9.28515625" defaultRowHeight="15.75" x14ac:dyDescent="0.25"/>
  <cols>
    <col min="1" max="1" width="42.7109375" style="140" customWidth="1"/>
    <col min="2" max="2" width="7.85546875" style="140" customWidth="1"/>
    <col min="3" max="3" width="5.5703125" style="210" customWidth="1"/>
    <col min="4" max="4" width="7.140625" style="140" customWidth="1"/>
    <col min="5" max="5" width="16.7109375" style="140" customWidth="1"/>
    <col min="6" max="6" width="7" style="140" customWidth="1"/>
    <col min="7" max="7" width="16.28515625" style="361" customWidth="1"/>
    <col min="8" max="8" width="15.7109375" style="361" customWidth="1"/>
    <col min="9" max="9" width="0.140625" style="140" hidden="1" customWidth="1"/>
    <col min="10" max="10" width="8.85546875" style="140" hidden="1" customWidth="1"/>
    <col min="11" max="11" width="11.28515625" style="140" hidden="1" customWidth="1"/>
    <col min="12" max="12" width="9.28515625" style="140"/>
    <col min="13" max="13" width="13.85546875" style="140" bestFit="1" customWidth="1"/>
    <col min="14" max="16384" width="9.28515625" style="140"/>
  </cols>
  <sheetData>
    <row r="1" spans="1:14" x14ac:dyDescent="0.25">
      <c r="A1" s="344"/>
      <c r="B1" s="344"/>
      <c r="C1" s="344"/>
      <c r="D1" s="344"/>
      <c r="E1" s="344"/>
      <c r="F1" s="345"/>
      <c r="G1" s="409" t="s">
        <v>310</v>
      </c>
      <c r="H1" s="409"/>
      <c r="I1" s="352"/>
      <c r="J1" s="352"/>
      <c r="K1" s="352"/>
      <c r="L1" s="352"/>
    </row>
    <row r="2" spans="1:14" s="284" customFormat="1" ht="14.65" customHeight="1" x14ac:dyDescent="0.25">
      <c r="A2" s="344"/>
      <c r="B2" s="344"/>
      <c r="C2" s="344"/>
      <c r="D2" s="344"/>
      <c r="E2" s="344"/>
      <c r="F2" s="410" t="s">
        <v>313</v>
      </c>
      <c r="G2" s="410"/>
      <c r="H2" s="410"/>
      <c r="I2" s="354"/>
      <c r="J2" s="354"/>
      <c r="K2" s="354"/>
      <c r="L2" s="354"/>
    </row>
    <row r="3" spans="1:14" s="284" customFormat="1" ht="31.5" customHeight="1" x14ac:dyDescent="0.25">
      <c r="A3" s="346"/>
      <c r="B3" s="347"/>
      <c r="C3" s="347"/>
      <c r="D3" s="348"/>
      <c r="E3" s="348"/>
      <c r="F3" s="410"/>
      <c r="G3" s="410"/>
      <c r="H3" s="410"/>
      <c r="I3" s="354"/>
      <c r="J3" s="354"/>
      <c r="K3" s="354"/>
      <c r="L3" s="354"/>
    </row>
    <row r="4" spans="1:14" s="284" customFormat="1" ht="6" customHeight="1" x14ac:dyDescent="0.25">
      <c r="A4" s="346"/>
      <c r="B4" s="347"/>
      <c r="C4" s="347"/>
      <c r="D4" s="348"/>
      <c r="E4" s="348"/>
      <c r="F4" s="410"/>
      <c r="G4" s="410"/>
      <c r="H4" s="410"/>
      <c r="I4" s="354"/>
      <c r="J4" s="354"/>
      <c r="K4" s="354"/>
      <c r="L4" s="354"/>
      <c r="N4" s="353"/>
    </row>
    <row r="5" spans="1:14" s="284" customFormat="1" ht="21.6" customHeight="1" x14ac:dyDescent="0.25">
      <c r="A5" s="346"/>
      <c r="B5" s="347"/>
      <c r="C5" s="347"/>
      <c r="D5" s="348"/>
      <c r="E5" s="348"/>
      <c r="F5" s="348"/>
      <c r="G5" s="355"/>
      <c r="H5" s="356"/>
      <c r="I5" s="349"/>
      <c r="J5" s="349"/>
      <c r="K5" s="349"/>
      <c r="L5" s="344"/>
    </row>
    <row r="6" spans="1:14" ht="15.75" customHeight="1" x14ac:dyDescent="0.25">
      <c r="A6" s="408" t="s">
        <v>312</v>
      </c>
      <c r="B6" s="408"/>
      <c r="C6" s="408"/>
      <c r="D6" s="408"/>
      <c r="E6" s="408"/>
      <c r="F6" s="408"/>
      <c r="G6" s="408"/>
      <c r="H6" s="408"/>
      <c r="I6" s="408"/>
      <c r="J6" s="408"/>
      <c r="K6" s="408"/>
      <c r="L6" s="344"/>
    </row>
    <row r="7" spans="1:14" ht="21.6" customHeight="1" x14ac:dyDescent="0.25">
      <c r="A7" s="408"/>
      <c r="B7" s="408"/>
      <c r="C7" s="408"/>
      <c r="D7" s="408"/>
      <c r="E7" s="408"/>
      <c r="F7" s="408"/>
      <c r="G7" s="408"/>
      <c r="H7" s="408"/>
      <c r="I7" s="408"/>
      <c r="J7" s="408"/>
      <c r="K7" s="408"/>
      <c r="L7" s="344"/>
    </row>
    <row r="8" spans="1:14" ht="24" customHeight="1" x14ac:dyDescent="0.25">
      <c r="A8" s="350" t="s">
        <v>311</v>
      </c>
      <c r="B8" s="351"/>
      <c r="C8" s="351"/>
      <c r="D8" s="351"/>
      <c r="E8" s="351"/>
      <c r="F8" s="351"/>
      <c r="G8" s="357"/>
      <c r="H8" s="357"/>
      <c r="I8" s="351"/>
      <c r="J8" s="351"/>
      <c r="K8" s="351"/>
      <c r="L8" s="344"/>
    </row>
    <row r="9" spans="1:14" ht="17.649999999999999" customHeight="1" x14ac:dyDescent="0.25">
      <c r="A9" s="395" t="s">
        <v>0</v>
      </c>
      <c r="B9" s="400" t="s">
        <v>1</v>
      </c>
      <c r="C9" s="401" t="s">
        <v>53</v>
      </c>
      <c r="D9" s="395" t="s">
        <v>54</v>
      </c>
      <c r="E9" s="395" t="s">
        <v>2</v>
      </c>
      <c r="F9" s="395" t="s">
        <v>50</v>
      </c>
      <c r="G9" s="411" t="s">
        <v>309</v>
      </c>
      <c r="H9" s="411"/>
    </row>
    <row r="10" spans="1:14" ht="38.25" customHeight="1" x14ac:dyDescent="0.25">
      <c r="A10" s="395"/>
      <c r="B10" s="400"/>
      <c r="C10" s="401"/>
      <c r="D10" s="395"/>
      <c r="E10" s="395"/>
      <c r="F10" s="395"/>
      <c r="G10" s="358" t="s">
        <v>308</v>
      </c>
      <c r="H10" s="358" t="s">
        <v>307</v>
      </c>
      <c r="I10" s="167"/>
    </row>
    <row r="11" spans="1:14" ht="42" customHeight="1" x14ac:dyDescent="0.25">
      <c r="A11" s="365" t="s">
        <v>56</v>
      </c>
      <c r="B11" s="366">
        <v>303</v>
      </c>
      <c r="C11" s="362"/>
      <c r="D11" s="363"/>
      <c r="E11" s="364"/>
      <c r="F11" s="343"/>
      <c r="G11" s="367">
        <f>G12+G68+G76+G89+G135+G233+G254+G266+G218+G239</f>
        <v>20826.27</v>
      </c>
      <c r="H11" s="367">
        <f>H12+H68+H76+H89+H135+H233+H254+H266+H218+H239</f>
        <v>20148.600000000002</v>
      </c>
    </row>
    <row r="12" spans="1:14" ht="25.9" customHeight="1" x14ac:dyDescent="0.25">
      <c r="A12" s="365" t="s">
        <v>3</v>
      </c>
      <c r="B12" s="366">
        <v>303</v>
      </c>
      <c r="C12" s="362" t="s">
        <v>33</v>
      </c>
      <c r="D12" s="362" t="s">
        <v>35</v>
      </c>
      <c r="E12" s="364"/>
      <c r="F12" s="342"/>
      <c r="G12" s="358">
        <f>G13+G19+G41+G47+G52</f>
        <v>5580.12</v>
      </c>
      <c r="H12" s="358">
        <f>H13+H19+H41+H47+H52</f>
        <v>5421.08</v>
      </c>
      <c r="I12" s="167"/>
    </row>
    <row r="13" spans="1:14" ht="63" x14ac:dyDescent="0.25">
      <c r="A13" s="365" t="s">
        <v>27</v>
      </c>
      <c r="B13" s="366">
        <v>303</v>
      </c>
      <c r="C13" s="362" t="s">
        <v>33</v>
      </c>
      <c r="D13" s="362" t="s">
        <v>36</v>
      </c>
      <c r="E13" s="364"/>
      <c r="F13" s="342"/>
      <c r="G13" s="358">
        <f>G14</f>
        <v>1122.74</v>
      </c>
      <c r="H13" s="358">
        <f t="shared" ref="H13:H17" si="0">H14</f>
        <v>1122.7</v>
      </c>
      <c r="I13" s="167"/>
    </row>
    <row r="14" spans="1:14" s="175" customFormat="1" ht="79.150000000000006" customHeight="1" x14ac:dyDescent="0.25">
      <c r="A14" s="365" t="s">
        <v>82</v>
      </c>
      <c r="B14" s="366">
        <v>303</v>
      </c>
      <c r="C14" s="362" t="s">
        <v>33</v>
      </c>
      <c r="D14" s="362" t="s">
        <v>36</v>
      </c>
      <c r="E14" s="364" t="s">
        <v>57</v>
      </c>
      <c r="F14" s="342"/>
      <c r="G14" s="358">
        <f>G15</f>
        <v>1122.74</v>
      </c>
      <c r="H14" s="358">
        <f t="shared" si="0"/>
        <v>1122.7</v>
      </c>
      <c r="I14" s="189"/>
    </row>
    <row r="15" spans="1:14" s="175" customFormat="1" ht="31.9" customHeight="1" x14ac:dyDescent="0.25">
      <c r="A15" s="381" t="s">
        <v>84</v>
      </c>
      <c r="B15" s="366">
        <v>303</v>
      </c>
      <c r="C15" s="362" t="s">
        <v>33</v>
      </c>
      <c r="D15" s="362" t="s">
        <v>36</v>
      </c>
      <c r="E15" s="364" t="s">
        <v>58</v>
      </c>
      <c r="F15" s="342"/>
      <c r="G15" s="358">
        <f>G16</f>
        <v>1122.74</v>
      </c>
      <c r="H15" s="358">
        <f t="shared" si="0"/>
        <v>1122.7</v>
      </c>
      <c r="I15" s="189"/>
    </row>
    <row r="16" spans="1:14" ht="44.45" customHeight="1" x14ac:dyDescent="0.25">
      <c r="A16" s="365" t="s">
        <v>49</v>
      </c>
      <c r="B16" s="366">
        <v>303</v>
      </c>
      <c r="C16" s="362" t="s">
        <v>33</v>
      </c>
      <c r="D16" s="362" t="s">
        <v>36</v>
      </c>
      <c r="E16" s="364" t="s">
        <v>59</v>
      </c>
      <c r="F16" s="342"/>
      <c r="G16" s="358">
        <f>G17</f>
        <v>1122.74</v>
      </c>
      <c r="H16" s="358">
        <f t="shared" si="0"/>
        <v>1122.7</v>
      </c>
      <c r="I16" s="167"/>
    </row>
    <row r="17" spans="1:12" ht="97.15" customHeight="1" x14ac:dyDescent="0.25">
      <c r="A17" s="365" t="s">
        <v>12</v>
      </c>
      <c r="B17" s="366">
        <v>303</v>
      </c>
      <c r="C17" s="362" t="s">
        <v>33</v>
      </c>
      <c r="D17" s="362" t="s">
        <v>36</v>
      </c>
      <c r="E17" s="364" t="s">
        <v>59</v>
      </c>
      <c r="F17" s="343">
        <v>100</v>
      </c>
      <c r="G17" s="367">
        <f>G18</f>
        <v>1122.74</v>
      </c>
      <c r="H17" s="367">
        <f t="shared" si="0"/>
        <v>1122.7</v>
      </c>
    </row>
    <row r="18" spans="1:12" ht="35.450000000000003" customHeight="1" x14ac:dyDescent="0.25">
      <c r="A18" s="365" t="s">
        <v>13</v>
      </c>
      <c r="B18" s="366">
        <v>303</v>
      </c>
      <c r="C18" s="362" t="s">
        <v>33</v>
      </c>
      <c r="D18" s="362" t="s">
        <v>36</v>
      </c>
      <c r="E18" s="364" t="s">
        <v>59</v>
      </c>
      <c r="F18" s="343">
        <v>120</v>
      </c>
      <c r="G18" s="367">
        <v>1122.74</v>
      </c>
      <c r="H18" s="367">
        <v>1122.7</v>
      </c>
      <c r="J18" s="84">
        <v>0.85</v>
      </c>
    </row>
    <row r="19" spans="1:12" ht="94.5" x14ac:dyDescent="0.25">
      <c r="A19" s="365" t="s">
        <v>4</v>
      </c>
      <c r="B19" s="366">
        <v>303</v>
      </c>
      <c r="C19" s="362" t="s">
        <v>33</v>
      </c>
      <c r="D19" s="362" t="s">
        <v>38</v>
      </c>
      <c r="E19" s="364"/>
      <c r="F19" s="342"/>
      <c r="G19" s="358">
        <f>G20+G37</f>
        <v>3885.68</v>
      </c>
      <c r="H19" s="358">
        <f>H20+H37</f>
        <v>3833.8</v>
      </c>
    </row>
    <row r="20" spans="1:12" ht="78.75" x14ac:dyDescent="0.25">
      <c r="A20" s="365" t="s">
        <v>82</v>
      </c>
      <c r="B20" s="366">
        <v>303</v>
      </c>
      <c r="C20" s="362" t="s">
        <v>33</v>
      </c>
      <c r="D20" s="362" t="s">
        <v>38</v>
      </c>
      <c r="E20" s="364" t="s">
        <v>57</v>
      </c>
      <c r="F20" s="342"/>
      <c r="G20" s="358">
        <f>G21</f>
        <v>3798.18</v>
      </c>
      <c r="H20" s="358">
        <f t="shared" ref="H20" si="1">H21</f>
        <v>3746.3</v>
      </c>
    </row>
    <row r="21" spans="1:12" ht="24" customHeight="1" x14ac:dyDescent="0.25">
      <c r="A21" s="381" t="s">
        <v>89</v>
      </c>
      <c r="B21" s="366">
        <v>303</v>
      </c>
      <c r="C21" s="362" t="s">
        <v>33</v>
      </c>
      <c r="D21" s="362" t="s">
        <v>38</v>
      </c>
      <c r="E21" s="364" t="s">
        <v>153</v>
      </c>
      <c r="F21" s="343"/>
      <c r="G21" s="367">
        <f>G22+G32+G29</f>
        <v>3798.18</v>
      </c>
      <c r="H21" s="367">
        <f t="shared" ref="H21" si="2">H22+H32</f>
        <v>3746.3</v>
      </c>
      <c r="I21" s="175"/>
    </row>
    <row r="22" spans="1:12" ht="45.6" customHeight="1" x14ac:dyDescent="0.25">
      <c r="A22" s="365" t="s">
        <v>49</v>
      </c>
      <c r="B22" s="366">
        <v>303</v>
      </c>
      <c r="C22" s="362" t="s">
        <v>33</v>
      </c>
      <c r="D22" s="362" t="s">
        <v>38</v>
      </c>
      <c r="E22" s="364" t="s">
        <v>154</v>
      </c>
      <c r="F22" s="343"/>
      <c r="G22" s="367">
        <f>G23+G25+G27</f>
        <v>3421.24</v>
      </c>
      <c r="H22" s="367">
        <f>H23+H25+H27</f>
        <v>3416.2000000000003</v>
      </c>
    </row>
    <row r="23" spans="1:12" ht="94.5" x14ac:dyDescent="0.25">
      <c r="A23" s="365" t="s">
        <v>12</v>
      </c>
      <c r="B23" s="366">
        <v>303</v>
      </c>
      <c r="C23" s="362" t="s">
        <v>33</v>
      </c>
      <c r="D23" s="362" t="s">
        <v>38</v>
      </c>
      <c r="E23" s="364" t="s">
        <v>154</v>
      </c>
      <c r="F23" s="343">
        <v>100</v>
      </c>
      <c r="G23" s="367">
        <f>G24</f>
        <v>3081.84</v>
      </c>
      <c r="H23" s="367">
        <f>H24</f>
        <v>3078.9</v>
      </c>
      <c r="L23" s="243"/>
    </row>
    <row r="24" spans="1:12" ht="42.6" customHeight="1" x14ac:dyDescent="0.25">
      <c r="A24" s="365" t="s">
        <v>13</v>
      </c>
      <c r="B24" s="366">
        <v>303</v>
      </c>
      <c r="C24" s="362" t="s">
        <v>33</v>
      </c>
      <c r="D24" s="362" t="s">
        <v>38</v>
      </c>
      <c r="E24" s="364" t="s">
        <v>154</v>
      </c>
      <c r="F24" s="343">
        <v>120</v>
      </c>
      <c r="G24" s="367">
        <v>3081.84</v>
      </c>
      <c r="H24" s="367">
        <v>3078.9</v>
      </c>
      <c r="J24" s="83" t="s">
        <v>186</v>
      </c>
    </row>
    <row r="25" spans="1:12" ht="46.9" customHeight="1" x14ac:dyDescent="0.25">
      <c r="A25" s="365" t="s">
        <v>29</v>
      </c>
      <c r="B25" s="366">
        <v>303</v>
      </c>
      <c r="C25" s="362" t="s">
        <v>33</v>
      </c>
      <c r="D25" s="362" t="s">
        <v>38</v>
      </c>
      <c r="E25" s="364" t="s">
        <v>154</v>
      </c>
      <c r="F25" s="343">
        <v>200</v>
      </c>
      <c r="G25" s="367">
        <f>G26</f>
        <v>339.2</v>
      </c>
      <c r="H25" s="367">
        <f t="shared" ref="H25" si="3">H26</f>
        <v>337.3</v>
      </c>
    </row>
    <row r="26" spans="1:12" ht="55.15" customHeight="1" x14ac:dyDescent="0.25">
      <c r="A26" s="365" t="s">
        <v>28</v>
      </c>
      <c r="B26" s="366">
        <v>303</v>
      </c>
      <c r="C26" s="362" t="s">
        <v>33</v>
      </c>
      <c r="D26" s="362" t="s">
        <v>38</v>
      </c>
      <c r="E26" s="364" t="s">
        <v>154</v>
      </c>
      <c r="F26" s="343">
        <v>240</v>
      </c>
      <c r="G26" s="367">
        <v>339.2</v>
      </c>
      <c r="H26" s="367">
        <v>337.3</v>
      </c>
    </row>
    <row r="27" spans="1:12" x14ac:dyDescent="0.25">
      <c r="A27" s="365" t="s">
        <v>14</v>
      </c>
      <c r="B27" s="366">
        <v>303</v>
      </c>
      <c r="C27" s="362" t="s">
        <v>33</v>
      </c>
      <c r="D27" s="362" t="s">
        <v>38</v>
      </c>
      <c r="E27" s="364" t="s">
        <v>154</v>
      </c>
      <c r="F27" s="343">
        <v>800</v>
      </c>
      <c r="G27" s="367">
        <f>G28</f>
        <v>0.2</v>
      </c>
      <c r="H27" s="367">
        <f t="shared" ref="H27" si="4">H28</f>
        <v>0</v>
      </c>
    </row>
    <row r="28" spans="1:12" x14ac:dyDescent="0.25">
      <c r="A28" s="365" t="s">
        <v>15</v>
      </c>
      <c r="B28" s="366">
        <v>303</v>
      </c>
      <c r="C28" s="362" t="s">
        <v>33</v>
      </c>
      <c r="D28" s="362" t="s">
        <v>38</v>
      </c>
      <c r="E28" s="364" t="s">
        <v>154</v>
      </c>
      <c r="F28" s="343">
        <v>850</v>
      </c>
      <c r="G28" s="367">
        <v>0.2</v>
      </c>
      <c r="H28" s="367">
        <v>0</v>
      </c>
    </row>
    <row r="29" spans="1:12" ht="101.45" customHeight="1" x14ac:dyDescent="0.25">
      <c r="A29" s="365" t="s">
        <v>305</v>
      </c>
      <c r="B29" s="366">
        <v>303</v>
      </c>
      <c r="C29" s="362" t="s">
        <v>33</v>
      </c>
      <c r="D29" s="362" t="s">
        <v>38</v>
      </c>
      <c r="E29" s="364" t="s">
        <v>304</v>
      </c>
      <c r="F29" s="343"/>
      <c r="G29" s="367">
        <f>G30</f>
        <v>46.8</v>
      </c>
      <c r="H29" s="367">
        <f t="shared" ref="H29:H30" si="5">H30</f>
        <v>0</v>
      </c>
    </row>
    <row r="30" spans="1:12" ht="94.5" x14ac:dyDescent="0.25">
      <c r="A30" s="365" t="s">
        <v>12</v>
      </c>
      <c r="B30" s="366">
        <v>303</v>
      </c>
      <c r="C30" s="362" t="s">
        <v>33</v>
      </c>
      <c r="D30" s="362" t="s">
        <v>38</v>
      </c>
      <c r="E30" s="364" t="s">
        <v>304</v>
      </c>
      <c r="F30" s="343">
        <v>100</v>
      </c>
      <c r="G30" s="367">
        <f>G31</f>
        <v>46.8</v>
      </c>
      <c r="H30" s="367">
        <f t="shared" si="5"/>
        <v>0</v>
      </c>
      <c r="L30" s="243"/>
    </row>
    <row r="31" spans="1:12" ht="42.6" customHeight="1" x14ac:dyDescent="0.25">
      <c r="A31" s="365" t="s">
        <v>13</v>
      </c>
      <c r="B31" s="366">
        <v>303</v>
      </c>
      <c r="C31" s="362" t="s">
        <v>33</v>
      </c>
      <c r="D31" s="362" t="s">
        <v>38</v>
      </c>
      <c r="E31" s="364" t="s">
        <v>304</v>
      </c>
      <c r="F31" s="343">
        <v>120</v>
      </c>
      <c r="G31" s="367">
        <v>46.8</v>
      </c>
      <c r="H31" s="367">
        <v>0</v>
      </c>
      <c r="J31" s="83" t="s">
        <v>186</v>
      </c>
    </row>
    <row r="32" spans="1:12" ht="94.5" x14ac:dyDescent="0.25">
      <c r="A32" s="318" t="s">
        <v>88</v>
      </c>
      <c r="B32" s="321">
        <v>303</v>
      </c>
      <c r="C32" s="362" t="s">
        <v>33</v>
      </c>
      <c r="D32" s="362" t="s">
        <v>38</v>
      </c>
      <c r="E32" s="321" t="s">
        <v>92</v>
      </c>
      <c r="F32" s="321"/>
      <c r="G32" s="367">
        <f>G33+G35</f>
        <v>330.14000000000004</v>
      </c>
      <c r="H32" s="367">
        <f t="shared" ref="H32" si="6">H33+H35</f>
        <v>330.1</v>
      </c>
    </row>
    <row r="33" spans="1:12" ht="94.5" x14ac:dyDescent="0.25">
      <c r="A33" s="318" t="s">
        <v>87</v>
      </c>
      <c r="B33" s="321">
        <v>303</v>
      </c>
      <c r="C33" s="362" t="s">
        <v>33</v>
      </c>
      <c r="D33" s="362" t="s">
        <v>38</v>
      </c>
      <c r="E33" s="321" t="s">
        <v>92</v>
      </c>
      <c r="F33" s="321">
        <v>100</v>
      </c>
      <c r="G33" s="367">
        <f>G34</f>
        <v>315.04000000000002</v>
      </c>
      <c r="H33" s="367">
        <f t="shared" ref="H33" si="7">H34</f>
        <v>315</v>
      </c>
      <c r="L33" s="243">
        <v>0.17</v>
      </c>
    </row>
    <row r="34" spans="1:12" ht="47.25" x14ac:dyDescent="0.25">
      <c r="A34" s="318" t="s">
        <v>13</v>
      </c>
      <c r="B34" s="321">
        <v>303</v>
      </c>
      <c r="C34" s="362" t="s">
        <v>33</v>
      </c>
      <c r="D34" s="362" t="s">
        <v>38</v>
      </c>
      <c r="E34" s="321" t="s">
        <v>92</v>
      </c>
      <c r="F34" s="321">
        <v>120</v>
      </c>
      <c r="G34" s="367">
        <v>315.04000000000002</v>
      </c>
      <c r="H34" s="367">
        <v>315</v>
      </c>
      <c r="J34" s="83" t="s">
        <v>184</v>
      </c>
    </row>
    <row r="35" spans="1:12" x14ac:dyDescent="0.25">
      <c r="A35" s="75" t="s">
        <v>65</v>
      </c>
      <c r="B35" s="321">
        <v>303</v>
      </c>
      <c r="C35" s="362" t="s">
        <v>33</v>
      </c>
      <c r="D35" s="362" t="s">
        <v>38</v>
      </c>
      <c r="E35" s="321" t="s">
        <v>92</v>
      </c>
      <c r="F35" s="321">
        <v>200</v>
      </c>
      <c r="G35" s="367">
        <f>G36</f>
        <v>15.1</v>
      </c>
      <c r="H35" s="367">
        <f t="shared" ref="H35" si="8">H36</f>
        <v>15.1</v>
      </c>
    </row>
    <row r="36" spans="1:12" ht="47.25" x14ac:dyDescent="0.25">
      <c r="A36" s="318" t="s">
        <v>28</v>
      </c>
      <c r="B36" s="321">
        <v>303</v>
      </c>
      <c r="C36" s="362" t="s">
        <v>33</v>
      </c>
      <c r="D36" s="362" t="s">
        <v>38</v>
      </c>
      <c r="E36" s="321" t="s">
        <v>92</v>
      </c>
      <c r="F36" s="321">
        <v>240</v>
      </c>
      <c r="G36" s="367">
        <v>15.1</v>
      </c>
      <c r="H36" s="367">
        <v>15.1</v>
      </c>
    </row>
    <row r="37" spans="1:12" ht="35.450000000000003" customHeight="1" x14ac:dyDescent="0.25">
      <c r="A37" s="80" t="s">
        <v>96</v>
      </c>
      <c r="B37" s="321">
        <v>303</v>
      </c>
      <c r="C37" s="362" t="s">
        <v>33</v>
      </c>
      <c r="D37" s="362" t="s">
        <v>38</v>
      </c>
      <c r="E37" s="321" t="s">
        <v>97</v>
      </c>
      <c r="F37" s="321"/>
      <c r="G37" s="358">
        <f t="shared" ref="G37:H39" si="9">G38</f>
        <v>87.5</v>
      </c>
      <c r="H37" s="358">
        <f t="shared" si="9"/>
        <v>87.5</v>
      </c>
    </row>
    <row r="38" spans="1:12" ht="52.15" customHeight="1" x14ac:dyDescent="0.25">
      <c r="A38" s="318" t="s">
        <v>21</v>
      </c>
      <c r="B38" s="321">
        <v>303</v>
      </c>
      <c r="C38" s="362" t="s">
        <v>33</v>
      </c>
      <c r="D38" s="362" t="s">
        <v>38</v>
      </c>
      <c r="E38" s="321" t="s">
        <v>151</v>
      </c>
      <c r="F38" s="321"/>
      <c r="G38" s="358">
        <f t="shared" si="9"/>
        <v>87.5</v>
      </c>
      <c r="H38" s="358">
        <f t="shared" si="9"/>
        <v>87.5</v>
      </c>
    </row>
    <row r="39" spans="1:12" ht="42" customHeight="1" x14ac:dyDescent="0.25">
      <c r="A39" s="318" t="s">
        <v>65</v>
      </c>
      <c r="B39" s="321">
        <v>303</v>
      </c>
      <c r="C39" s="362" t="s">
        <v>33</v>
      </c>
      <c r="D39" s="362" t="s">
        <v>38</v>
      </c>
      <c r="E39" s="321" t="s">
        <v>151</v>
      </c>
      <c r="F39" s="321">
        <v>200</v>
      </c>
      <c r="G39" s="358">
        <f t="shared" si="9"/>
        <v>87.5</v>
      </c>
      <c r="H39" s="358">
        <f t="shared" si="9"/>
        <v>87.5</v>
      </c>
    </row>
    <row r="40" spans="1:12" ht="55.15" customHeight="1" x14ac:dyDescent="0.25">
      <c r="A40" s="318" t="s">
        <v>28</v>
      </c>
      <c r="B40" s="321">
        <v>303</v>
      </c>
      <c r="C40" s="362" t="s">
        <v>33</v>
      </c>
      <c r="D40" s="362" t="s">
        <v>38</v>
      </c>
      <c r="E40" s="321" t="s">
        <v>151</v>
      </c>
      <c r="F40" s="321">
        <v>240</v>
      </c>
      <c r="G40" s="358">
        <v>87.5</v>
      </c>
      <c r="H40" s="358">
        <v>87.5</v>
      </c>
    </row>
    <row r="41" spans="1:12" ht="68.45" customHeight="1" x14ac:dyDescent="0.25">
      <c r="A41" s="381" t="s">
        <v>22</v>
      </c>
      <c r="B41" s="366">
        <v>303</v>
      </c>
      <c r="C41" s="362" t="s">
        <v>33</v>
      </c>
      <c r="D41" s="362" t="s">
        <v>39</v>
      </c>
      <c r="E41" s="364"/>
      <c r="F41" s="342"/>
      <c r="G41" s="358">
        <f t="shared" ref="G41:H45" si="10">G42</f>
        <v>54.7</v>
      </c>
      <c r="H41" s="358">
        <f t="shared" si="10"/>
        <v>54.7</v>
      </c>
    </row>
    <row r="42" spans="1:12" ht="31.5" x14ac:dyDescent="0.25">
      <c r="A42" s="80" t="s">
        <v>96</v>
      </c>
      <c r="B42" s="321">
        <v>303</v>
      </c>
      <c r="C42" s="362" t="s">
        <v>33</v>
      </c>
      <c r="D42" s="362" t="s">
        <v>39</v>
      </c>
      <c r="E42" s="321" t="s">
        <v>97</v>
      </c>
      <c r="F42" s="342"/>
      <c r="G42" s="358">
        <f t="shared" si="10"/>
        <v>54.7</v>
      </c>
      <c r="H42" s="358">
        <f t="shared" si="10"/>
        <v>54.7</v>
      </c>
    </row>
    <row r="43" spans="1:12" ht="91.9" customHeight="1" x14ac:dyDescent="0.25">
      <c r="A43" s="78" t="s">
        <v>98</v>
      </c>
      <c r="B43" s="366">
        <v>303</v>
      </c>
      <c r="C43" s="362" t="s">
        <v>33</v>
      </c>
      <c r="D43" s="362" t="s">
        <v>39</v>
      </c>
      <c r="E43" s="321" t="s">
        <v>99</v>
      </c>
      <c r="F43" s="342"/>
      <c r="G43" s="358">
        <f t="shared" si="10"/>
        <v>54.7</v>
      </c>
      <c r="H43" s="358">
        <f t="shared" si="10"/>
        <v>54.7</v>
      </c>
    </row>
    <row r="44" spans="1:12" ht="99.6" customHeight="1" x14ac:dyDescent="0.25">
      <c r="A44" s="79" t="s">
        <v>155</v>
      </c>
      <c r="B44" s="366">
        <v>303</v>
      </c>
      <c r="C44" s="362" t="s">
        <v>33</v>
      </c>
      <c r="D44" s="362" t="s">
        <v>39</v>
      </c>
      <c r="E44" s="321" t="s">
        <v>101</v>
      </c>
      <c r="F44" s="342"/>
      <c r="G44" s="358">
        <f t="shared" si="10"/>
        <v>54.7</v>
      </c>
      <c r="H44" s="358">
        <f t="shared" si="10"/>
        <v>54.7</v>
      </c>
    </row>
    <row r="45" spans="1:12" ht="23.45" customHeight="1" x14ac:dyDescent="0.25">
      <c r="A45" s="75" t="s">
        <v>7</v>
      </c>
      <c r="B45" s="366">
        <v>303</v>
      </c>
      <c r="C45" s="362" t="s">
        <v>33</v>
      </c>
      <c r="D45" s="362" t="s">
        <v>39</v>
      </c>
      <c r="E45" s="321" t="s">
        <v>101</v>
      </c>
      <c r="F45" s="342">
        <v>500</v>
      </c>
      <c r="G45" s="358">
        <f t="shared" si="10"/>
        <v>54.7</v>
      </c>
      <c r="H45" s="358">
        <f t="shared" si="10"/>
        <v>54.7</v>
      </c>
    </row>
    <row r="46" spans="1:12" ht="24.6" customHeight="1" x14ac:dyDescent="0.25">
      <c r="A46" s="75" t="s">
        <v>17</v>
      </c>
      <c r="B46" s="366">
        <v>303</v>
      </c>
      <c r="C46" s="362" t="s">
        <v>33</v>
      </c>
      <c r="D46" s="362" t="s">
        <v>39</v>
      </c>
      <c r="E46" s="321" t="s">
        <v>101</v>
      </c>
      <c r="F46" s="342">
        <v>540</v>
      </c>
      <c r="G46" s="358">
        <v>54.7</v>
      </c>
      <c r="H46" s="358">
        <v>54.7</v>
      </c>
    </row>
    <row r="47" spans="1:12" ht="24" customHeight="1" x14ac:dyDescent="0.25">
      <c r="A47" s="365" t="s">
        <v>23</v>
      </c>
      <c r="B47" s="366">
        <v>303</v>
      </c>
      <c r="C47" s="362" t="s">
        <v>33</v>
      </c>
      <c r="D47" s="362" t="s">
        <v>40</v>
      </c>
      <c r="E47" s="364"/>
      <c r="F47" s="342"/>
      <c r="G47" s="358">
        <f>G48</f>
        <v>18</v>
      </c>
      <c r="H47" s="358">
        <f t="shared" ref="H47:H50" si="11">H48</f>
        <v>0</v>
      </c>
    </row>
    <row r="48" spans="1:12" ht="47.25" x14ac:dyDescent="0.25">
      <c r="A48" s="318" t="s">
        <v>93</v>
      </c>
      <c r="B48" s="366">
        <v>303</v>
      </c>
      <c r="C48" s="362" t="s">
        <v>33</v>
      </c>
      <c r="D48" s="362" t="s">
        <v>40</v>
      </c>
      <c r="E48" s="321" t="s">
        <v>94</v>
      </c>
      <c r="F48" s="342"/>
      <c r="G48" s="358">
        <f>G49</f>
        <v>18</v>
      </c>
      <c r="H48" s="358">
        <f t="shared" si="11"/>
        <v>0</v>
      </c>
    </row>
    <row r="49" spans="1:8" ht="53.45" customHeight="1" x14ac:dyDescent="0.25">
      <c r="A49" s="318" t="s">
        <v>93</v>
      </c>
      <c r="B49" s="366">
        <v>303</v>
      </c>
      <c r="C49" s="362" t="s">
        <v>33</v>
      </c>
      <c r="D49" s="362" t="s">
        <v>40</v>
      </c>
      <c r="E49" s="321" t="s">
        <v>95</v>
      </c>
      <c r="F49" s="342"/>
      <c r="G49" s="358">
        <f>G50</f>
        <v>18</v>
      </c>
      <c r="H49" s="358">
        <f t="shared" si="11"/>
        <v>0</v>
      </c>
    </row>
    <row r="50" spans="1:8" ht="25.9" customHeight="1" x14ac:dyDescent="0.25">
      <c r="A50" s="365" t="s">
        <v>14</v>
      </c>
      <c r="B50" s="366">
        <v>303</v>
      </c>
      <c r="C50" s="362" t="s">
        <v>33</v>
      </c>
      <c r="D50" s="362" t="s">
        <v>40</v>
      </c>
      <c r="E50" s="321" t="s">
        <v>95</v>
      </c>
      <c r="F50" s="342">
        <v>800</v>
      </c>
      <c r="G50" s="358">
        <f>G51</f>
        <v>18</v>
      </c>
      <c r="H50" s="358">
        <f t="shared" si="11"/>
        <v>0</v>
      </c>
    </row>
    <row r="51" spans="1:8" ht="17.45" customHeight="1" x14ac:dyDescent="0.25">
      <c r="A51" s="365" t="s">
        <v>24</v>
      </c>
      <c r="B51" s="366">
        <v>303</v>
      </c>
      <c r="C51" s="362" t="s">
        <v>33</v>
      </c>
      <c r="D51" s="362" t="s">
        <v>40</v>
      </c>
      <c r="E51" s="321" t="s">
        <v>95</v>
      </c>
      <c r="F51" s="342">
        <v>870</v>
      </c>
      <c r="G51" s="358">
        <v>18</v>
      </c>
      <c r="H51" s="358">
        <v>0</v>
      </c>
    </row>
    <row r="52" spans="1:8" ht="19.149999999999999" customHeight="1" x14ac:dyDescent="0.25">
      <c r="A52" s="365" t="s">
        <v>5</v>
      </c>
      <c r="B52" s="366">
        <v>303</v>
      </c>
      <c r="C52" s="362" t="s">
        <v>33</v>
      </c>
      <c r="D52" s="362" t="s">
        <v>41</v>
      </c>
      <c r="E52" s="364"/>
      <c r="F52" s="342"/>
      <c r="G52" s="358">
        <f>G53</f>
        <v>499</v>
      </c>
      <c r="H52" s="358">
        <f t="shared" ref="H52:H66" si="12">H53</f>
        <v>409.88</v>
      </c>
    </row>
    <row r="53" spans="1:8" ht="35.450000000000003" customHeight="1" x14ac:dyDescent="0.25">
      <c r="A53" s="80" t="s">
        <v>103</v>
      </c>
      <c r="B53" s="366">
        <v>300</v>
      </c>
      <c r="C53" s="362" t="s">
        <v>33</v>
      </c>
      <c r="D53" s="362" t="s">
        <v>41</v>
      </c>
      <c r="E53" s="321" t="s">
        <v>104</v>
      </c>
      <c r="F53" s="342"/>
      <c r="G53" s="358">
        <f>G54+G65+G57+G60</f>
        <v>499</v>
      </c>
      <c r="H53" s="358">
        <f>H54+H65+H57+H60</f>
        <v>409.88</v>
      </c>
    </row>
    <row r="54" spans="1:8" ht="32.450000000000003" customHeight="1" x14ac:dyDescent="0.25">
      <c r="A54" s="80" t="s">
        <v>105</v>
      </c>
      <c r="B54" s="366">
        <v>303</v>
      </c>
      <c r="C54" s="362" t="s">
        <v>33</v>
      </c>
      <c r="D54" s="362" t="s">
        <v>41</v>
      </c>
      <c r="E54" s="321" t="s">
        <v>106</v>
      </c>
      <c r="F54" s="342"/>
      <c r="G54" s="358">
        <f>G55</f>
        <v>111.1</v>
      </c>
      <c r="H54" s="358">
        <f t="shared" si="12"/>
        <v>111.14</v>
      </c>
    </row>
    <row r="55" spans="1:8" ht="34.9" customHeight="1" x14ac:dyDescent="0.25">
      <c r="A55" s="80" t="s">
        <v>65</v>
      </c>
      <c r="B55" s="366">
        <v>303</v>
      </c>
      <c r="C55" s="362" t="s">
        <v>33</v>
      </c>
      <c r="D55" s="362" t="s">
        <v>41</v>
      </c>
      <c r="E55" s="321" t="s">
        <v>106</v>
      </c>
      <c r="F55" s="342">
        <v>200</v>
      </c>
      <c r="G55" s="358">
        <f>G56</f>
        <v>111.1</v>
      </c>
      <c r="H55" s="358">
        <f t="shared" si="12"/>
        <v>111.14</v>
      </c>
    </row>
    <row r="56" spans="1:8" ht="58.15" customHeight="1" x14ac:dyDescent="0.25">
      <c r="A56" s="318" t="s">
        <v>28</v>
      </c>
      <c r="B56" s="366">
        <v>303</v>
      </c>
      <c r="C56" s="362" t="s">
        <v>33</v>
      </c>
      <c r="D56" s="362" t="s">
        <v>41</v>
      </c>
      <c r="E56" s="321" t="s">
        <v>106</v>
      </c>
      <c r="F56" s="342">
        <v>240</v>
      </c>
      <c r="G56" s="358">
        <v>111.1</v>
      </c>
      <c r="H56" s="358">
        <v>111.14</v>
      </c>
    </row>
    <row r="57" spans="1:8" ht="32.450000000000003" customHeight="1" x14ac:dyDescent="0.25">
      <c r="A57" s="80" t="s">
        <v>281</v>
      </c>
      <c r="B57" s="366">
        <v>303</v>
      </c>
      <c r="C57" s="362" t="s">
        <v>33</v>
      </c>
      <c r="D57" s="362" t="s">
        <v>41</v>
      </c>
      <c r="E57" s="321" t="s">
        <v>280</v>
      </c>
      <c r="F57" s="342"/>
      <c r="G57" s="358">
        <f>G58</f>
        <v>36.200000000000003</v>
      </c>
      <c r="H57" s="358">
        <f t="shared" si="12"/>
        <v>30.2</v>
      </c>
    </row>
    <row r="58" spans="1:8" ht="34.9" customHeight="1" x14ac:dyDescent="0.25">
      <c r="A58" s="80" t="s">
        <v>65</v>
      </c>
      <c r="B58" s="366">
        <v>303</v>
      </c>
      <c r="C58" s="362" t="s">
        <v>33</v>
      </c>
      <c r="D58" s="362" t="s">
        <v>41</v>
      </c>
      <c r="E58" s="321" t="s">
        <v>280</v>
      </c>
      <c r="F58" s="342">
        <v>200</v>
      </c>
      <c r="G58" s="358">
        <f>G59</f>
        <v>36.200000000000003</v>
      </c>
      <c r="H58" s="358">
        <f t="shared" si="12"/>
        <v>30.2</v>
      </c>
    </row>
    <row r="59" spans="1:8" ht="58.15" customHeight="1" x14ac:dyDescent="0.25">
      <c r="A59" s="318" t="s">
        <v>28</v>
      </c>
      <c r="B59" s="366">
        <v>303</v>
      </c>
      <c r="C59" s="362" t="s">
        <v>33</v>
      </c>
      <c r="D59" s="362" t="s">
        <v>41</v>
      </c>
      <c r="E59" s="321" t="s">
        <v>280</v>
      </c>
      <c r="F59" s="342">
        <v>240</v>
      </c>
      <c r="G59" s="358">
        <v>36.200000000000003</v>
      </c>
      <c r="H59" s="358">
        <v>30.2</v>
      </c>
    </row>
    <row r="60" spans="1:8" ht="49.9" customHeight="1" x14ac:dyDescent="0.25">
      <c r="A60" s="80" t="s">
        <v>283</v>
      </c>
      <c r="B60" s="366">
        <v>303</v>
      </c>
      <c r="C60" s="362" t="s">
        <v>33</v>
      </c>
      <c r="D60" s="362" t="s">
        <v>41</v>
      </c>
      <c r="E60" s="321" t="s">
        <v>282</v>
      </c>
      <c r="F60" s="342"/>
      <c r="G60" s="358">
        <f>G63+G61</f>
        <v>242.20000000000002</v>
      </c>
      <c r="H60" s="358">
        <f t="shared" ref="H60" si="13">H63+H61</f>
        <v>242.24</v>
      </c>
    </row>
    <row r="61" spans="1:8" ht="37.15" customHeight="1" x14ac:dyDescent="0.25">
      <c r="A61" s="80" t="s">
        <v>65</v>
      </c>
      <c r="B61" s="366">
        <v>303</v>
      </c>
      <c r="C61" s="362" t="s">
        <v>33</v>
      </c>
      <c r="D61" s="362" t="s">
        <v>41</v>
      </c>
      <c r="E61" s="321" t="s">
        <v>282</v>
      </c>
      <c r="F61" s="342">
        <v>200</v>
      </c>
      <c r="G61" s="358">
        <f>G62</f>
        <v>3.9</v>
      </c>
      <c r="H61" s="358">
        <f t="shared" ref="H61" si="14">H62</f>
        <v>3.94</v>
      </c>
    </row>
    <row r="62" spans="1:8" ht="49.9" customHeight="1" x14ac:dyDescent="0.25">
      <c r="A62" s="318" t="s">
        <v>28</v>
      </c>
      <c r="B62" s="366">
        <v>303</v>
      </c>
      <c r="C62" s="362" t="s">
        <v>33</v>
      </c>
      <c r="D62" s="362" t="s">
        <v>41</v>
      </c>
      <c r="E62" s="321" t="s">
        <v>282</v>
      </c>
      <c r="F62" s="342">
        <v>240</v>
      </c>
      <c r="G62" s="358">
        <v>3.9</v>
      </c>
      <c r="H62" s="358">
        <v>3.94</v>
      </c>
    </row>
    <row r="63" spans="1:8" ht="27" customHeight="1" x14ac:dyDescent="0.25">
      <c r="A63" s="153" t="s">
        <v>14</v>
      </c>
      <c r="B63" s="366">
        <v>303</v>
      </c>
      <c r="C63" s="362" t="s">
        <v>33</v>
      </c>
      <c r="D63" s="362" t="s">
        <v>41</v>
      </c>
      <c r="E63" s="321" t="s">
        <v>282</v>
      </c>
      <c r="F63" s="342">
        <v>800</v>
      </c>
      <c r="G63" s="358">
        <f>G64</f>
        <v>238.3</v>
      </c>
      <c r="H63" s="358">
        <f t="shared" si="12"/>
        <v>238.3</v>
      </c>
    </row>
    <row r="64" spans="1:8" ht="27" customHeight="1" x14ac:dyDescent="0.25">
      <c r="A64" s="146" t="s">
        <v>15</v>
      </c>
      <c r="B64" s="366">
        <v>303</v>
      </c>
      <c r="C64" s="362" t="s">
        <v>33</v>
      </c>
      <c r="D64" s="362" t="s">
        <v>41</v>
      </c>
      <c r="E64" s="321" t="s">
        <v>282</v>
      </c>
      <c r="F64" s="342">
        <v>850</v>
      </c>
      <c r="G64" s="358">
        <v>238.3</v>
      </c>
      <c r="H64" s="358">
        <v>238.3</v>
      </c>
    </row>
    <row r="65" spans="1:10" ht="69.599999999999994" customHeight="1" x14ac:dyDescent="0.25">
      <c r="A65" s="80" t="s">
        <v>262</v>
      </c>
      <c r="B65" s="366">
        <v>303</v>
      </c>
      <c r="C65" s="362" t="s">
        <v>33</v>
      </c>
      <c r="D65" s="362" t="s">
        <v>41</v>
      </c>
      <c r="E65" s="321" t="s">
        <v>285</v>
      </c>
      <c r="F65" s="342"/>
      <c r="G65" s="358">
        <f>G66</f>
        <v>109.5</v>
      </c>
      <c r="H65" s="358">
        <f t="shared" si="12"/>
        <v>26.3</v>
      </c>
    </row>
    <row r="66" spans="1:10" ht="27.6" customHeight="1" x14ac:dyDescent="0.25">
      <c r="A66" s="153" t="s">
        <v>14</v>
      </c>
      <c r="B66" s="366">
        <v>303</v>
      </c>
      <c r="C66" s="362" t="s">
        <v>33</v>
      </c>
      <c r="D66" s="362" t="s">
        <v>41</v>
      </c>
      <c r="E66" s="321" t="s">
        <v>285</v>
      </c>
      <c r="F66" s="342">
        <v>800</v>
      </c>
      <c r="G66" s="358">
        <f>G67</f>
        <v>109.5</v>
      </c>
      <c r="H66" s="358">
        <f t="shared" si="12"/>
        <v>26.3</v>
      </c>
    </row>
    <row r="67" spans="1:10" ht="23.45" customHeight="1" x14ac:dyDescent="0.25">
      <c r="A67" s="318" t="s">
        <v>190</v>
      </c>
      <c r="B67" s="366">
        <v>303</v>
      </c>
      <c r="C67" s="362" t="s">
        <v>33</v>
      </c>
      <c r="D67" s="362" t="s">
        <v>41</v>
      </c>
      <c r="E67" s="321" t="s">
        <v>285</v>
      </c>
      <c r="F67" s="342">
        <v>830</v>
      </c>
      <c r="G67" s="358">
        <v>109.5</v>
      </c>
      <c r="H67" s="358">
        <v>26.3</v>
      </c>
    </row>
    <row r="68" spans="1:10" ht="21" customHeight="1" x14ac:dyDescent="0.25">
      <c r="A68" s="365" t="s">
        <v>25</v>
      </c>
      <c r="B68" s="366">
        <v>303</v>
      </c>
      <c r="C68" s="362" t="s">
        <v>36</v>
      </c>
      <c r="D68" s="362" t="s">
        <v>35</v>
      </c>
      <c r="E68" s="368"/>
      <c r="F68" s="342"/>
      <c r="G68" s="358">
        <f>G69</f>
        <v>504.65000000000003</v>
      </c>
      <c r="H68" s="358">
        <f t="shared" ref="H68:H70" si="15">H69</f>
        <v>504.70000000000005</v>
      </c>
    </row>
    <row r="69" spans="1:10" ht="31.5" x14ac:dyDescent="0.25">
      <c r="A69" s="365" t="s">
        <v>26</v>
      </c>
      <c r="B69" s="366">
        <v>303</v>
      </c>
      <c r="C69" s="362" t="s">
        <v>36</v>
      </c>
      <c r="D69" s="362" t="s">
        <v>37</v>
      </c>
      <c r="E69" s="368"/>
      <c r="F69" s="342"/>
      <c r="G69" s="358">
        <f>G70</f>
        <v>504.65000000000003</v>
      </c>
      <c r="H69" s="358">
        <f t="shared" si="15"/>
        <v>504.70000000000005</v>
      </c>
    </row>
    <row r="70" spans="1:10" ht="36" customHeight="1" x14ac:dyDescent="0.25">
      <c r="A70" s="382" t="s">
        <v>107</v>
      </c>
      <c r="B70" s="366">
        <v>303</v>
      </c>
      <c r="C70" s="362" t="s">
        <v>36</v>
      </c>
      <c r="D70" s="362" t="s">
        <v>37</v>
      </c>
      <c r="E70" s="321" t="s">
        <v>108</v>
      </c>
      <c r="F70" s="342"/>
      <c r="G70" s="358">
        <f>G71</f>
        <v>504.65000000000003</v>
      </c>
      <c r="H70" s="358">
        <f t="shared" si="15"/>
        <v>504.70000000000005</v>
      </c>
    </row>
    <row r="71" spans="1:10" ht="67.900000000000006" customHeight="1" x14ac:dyDescent="0.25">
      <c r="A71" s="383" t="s">
        <v>214</v>
      </c>
      <c r="B71" s="366">
        <v>303</v>
      </c>
      <c r="C71" s="362" t="s">
        <v>36</v>
      </c>
      <c r="D71" s="362" t="s">
        <v>37</v>
      </c>
      <c r="E71" s="321" t="s">
        <v>109</v>
      </c>
      <c r="F71" s="343"/>
      <c r="G71" s="367">
        <f>G72+G74</f>
        <v>504.65000000000003</v>
      </c>
      <c r="H71" s="367">
        <f t="shared" ref="H71" si="16">H72+H74</f>
        <v>504.70000000000005</v>
      </c>
    </row>
    <row r="72" spans="1:10" ht="94.15" customHeight="1" x14ac:dyDescent="0.25">
      <c r="A72" s="318" t="s">
        <v>87</v>
      </c>
      <c r="B72" s="366">
        <v>303</v>
      </c>
      <c r="C72" s="362" t="s">
        <v>36</v>
      </c>
      <c r="D72" s="362" t="s">
        <v>37</v>
      </c>
      <c r="E72" s="321" t="s">
        <v>109</v>
      </c>
      <c r="F72" s="343">
        <v>100</v>
      </c>
      <c r="G72" s="367">
        <f>G73</f>
        <v>496.55</v>
      </c>
      <c r="H72" s="367">
        <f t="shared" ref="H72" si="17">H73</f>
        <v>496.6</v>
      </c>
    </row>
    <row r="73" spans="1:10" ht="49.15" customHeight="1" x14ac:dyDescent="0.25">
      <c r="A73" s="318" t="s">
        <v>13</v>
      </c>
      <c r="B73" s="366">
        <v>303</v>
      </c>
      <c r="C73" s="362" t="s">
        <v>36</v>
      </c>
      <c r="D73" s="362" t="s">
        <v>37</v>
      </c>
      <c r="E73" s="321" t="s">
        <v>109</v>
      </c>
      <c r="F73" s="343">
        <v>120</v>
      </c>
      <c r="G73" s="367">
        <v>496.55</v>
      </c>
      <c r="H73" s="359">
        <v>496.6</v>
      </c>
      <c r="J73" s="83" t="s">
        <v>185</v>
      </c>
    </row>
    <row r="74" spans="1:10" ht="40.15" customHeight="1" x14ac:dyDescent="0.25">
      <c r="A74" s="80" t="s">
        <v>65</v>
      </c>
      <c r="B74" s="366">
        <v>303</v>
      </c>
      <c r="C74" s="362" t="s">
        <v>36</v>
      </c>
      <c r="D74" s="362" t="s">
        <v>37</v>
      </c>
      <c r="E74" s="321" t="s">
        <v>109</v>
      </c>
      <c r="F74" s="342">
        <v>200</v>
      </c>
      <c r="G74" s="358">
        <f>G75</f>
        <v>8.1</v>
      </c>
      <c r="H74" s="358">
        <f t="shared" ref="H74" si="18">H75</f>
        <v>8.1</v>
      </c>
    </row>
    <row r="75" spans="1:10" ht="55.9" customHeight="1" x14ac:dyDescent="0.25">
      <c r="A75" s="318" t="s">
        <v>28</v>
      </c>
      <c r="B75" s="366">
        <v>303</v>
      </c>
      <c r="C75" s="362" t="s">
        <v>36</v>
      </c>
      <c r="D75" s="362" t="s">
        <v>37</v>
      </c>
      <c r="E75" s="321" t="s">
        <v>109</v>
      </c>
      <c r="F75" s="342">
        <v>240</v>
      </c>
      <c r="G75" s="358">
        <v>8.1</v>
      </c>
      <c r="H75" s="358">
        <v>8.1</v>
      </c>
    </row>
    <row r="76" spans="1:10" ht="31.5" x14ac:dyDescent="0.25">
      <c r="A76" s="365" t="s">
        <v>32</v>
      </c>
      <c r="B76" s="366">
        <v>303</v>
      </c>
      <c r="C76" s="362" t="s">
        <v>37</v>
      </c>
      <c r="D76" s="362" t="s">
        <v>35</v>
      </c>
      <c r="E76" s="368"/>
      <c r="F76" s="342"/>
      <c r="G76" s="358">
        <f>G77</f>
        <v>160.4</v>
      </c>
      <c r="H76" s="358">
        <f>H77</f>
        <v>160.30000000000001</v>
      </c>
    </row>
    <row r="77" spans="1:10" ht="69" customHeight="1" x14ac:dyDescent="0.25">
      <c r="A77" s="365" t="s">
        <v>52</v>
      </c>
      <c r="B77" s="366">
        <v>303</v>
      </c>
      <c r="C77" s="362" t="s">
        <v>37</v>
      </c>
      <c r="D77" s="362" t="s">
        <v>42</v>
      </c>
      <c r="E77" s="368"/>
      <c r="F77" s="342"/>
      <c r="G77" s="358">
        <f>G78+G85</f>
        <v>160.4</v>
      </c>
      <c r="H77" s="358">
        <f t="shared" ref="H77" si="19">H78+H85</f>
        <v>160.30000000000001</v>
      </c>
    </row>
    <row r="78" spans="1:10" ht="86.45" customHeight="1" x14ac:dyDescent="0.25">
      <c r="A78" s="318" t="s">
        <v>255</v>
      </c>
      <c r="B78" s="366">
        <v>303</v>
      </c>
      <c r="C78" s="362" t="s">
        <v>37</v>
      </c>
      <c r="D78" s="362" t="s">
        <v>42</v>
      </c>
      <c r="E78" s="321" t="s">
        <v>62</v>
      </c>
      <c r="F78" s="321"/>
      <c r="G78" s="358">
        <f>G79+G82</f>
        <v>93.2</v>
      </c>
      <c r="H78" s="358">
        <f t="shared" ref="H78" si="20">H79+H82</f>
        <v>93.1</v>
      </c>
    </row>
    <row r="79" spans="1:10" ht="64.5" customHeight="1" x14ac:dyDescent="0.25">
      <c r="A79" s="318" t="s">
        <v>63</v>
      </c>
      <c r="B79" s="366">
        <v>303</v>
      </c>
      <c r="C79" s="362" t="s">
        <v>37</v>
      </c>
      <c r="D79" s="362" t="s">
        <v>42</v>
      </c>
      <c r="E79" s="321" t="s">
        <v>64</v>
      </c>
      <c r="F79" s="321"/>
      <c r="G79" s="358">
        <f>G80</f>
        <v>73.2</v>
      </c>
      <c r="H79" s="358">
        <f t="shared" ref="H79:H80" si="21">H80</f>
        <v>73.099999999999994</v>
      </c>
    </row>
    <row r="80" spans="1:10" ht="45.6" customHeight="1" x14ac:dyDescent="0.25">
      <c r="A80" s="318" t="s">
        <v>65</v>
      </c>
      <c r="B80" s="366">
        <v>303</v>
      </c>
      <c r="C80" s="362" t="s">
        <v>37</v>
      </c>
      <c r="D80" s="362" t="s">
        <v>42</v>
      </c>
      <c r="E80" s="321" t="s">
        <v>64</v>
      </c>
      <c r="F80" s="321">
        <v>200</v>
      </c>
      <c r="G80" s="358">
        <f>G81</f>
        <v>73.2</v>
      </c>
      <c r="H80" s="358">
        <f t="shared" si="21"/>
        <v>73.099999999999994</v>
      </c>
    </row>
    <row r="81" spans="1:8" ht="47.25" x14ac:dyDescent="0.25">
      <c r="A81" s="318" t="s">
        <v>28</v>
      </c>
      <c r="B81" s="366">
        <v>303</v>
      </c>
      <c r="C81" s="362" t="s">
        <v>37</v>
      </c>
      <c r="D81" s="362" t="s">
        <v>42</v>
      </c>
      <c r="E81" s="321" t="s">
        <v>64</v>
      </c>
      <c r="F81" s="321">
        <v>240</v>
      </c>
      <c r="G81" s="358">
        <v>73.2</v>
      </c>
      <c r="H81" s="358">
        <v>73.099999999999994</v>
      </c>
    </row>
    <row r="82" spans="1:8" ht="37.9" customHeight="1" x14ac:dyDescent="0.25">
      <c r="A82" s="381" t="s">
        <v>66</v>
      </c>
      <c r="B82" s="366">
        <v>303</v>
      </c>
      <c r="C82" s="362" t="s">
        <v>37</v>
      </c>
      <c r="D82" s="362" t="s">
        <v>42</v>
      </c>
      <c r="E82" s="364" t="s">
        <v>67</v>
      </c>
      <c r="F82" s="342"/>
      <c r="G82" s="358">
        <f>G83</f>
        <v>20</v>
      </c>
      <c r="H82" s="358">
        <f t="shared" ref="H82:H83" si="22">H83</f>
        <v>20</v>
      </c>
    </row>
    <row r="83" spans="1:8" ht="54.6" customHeight="1" x14ac:dyDescent="0.25">
      <c r="A83" s="365" t="s">
        <v>34</v>
      </c>
      <c r="B83" s="366">
        <v>303</v>
      </c>
      <c r="C83" s="362" t="s">
        <v>37</v>
      </c>
      <c r="D83" s="362" t="s">
        <v>42</v>
      </c>
      <c r="E83" s="364" t="s">
        <v>67</v>
      </c>
      <c r="F83" s="342">
        <v>600</v>
      </c>
      <c r="G83" s="358">
        <f>G84</f>
        <v>20</v>
      </c>
      <c r="H83" s="358">
        <f t="shared" si="22"/>
        <v>20</v>
      </c>
    </row>
    <row r="84" spans="1:8" ht="82.15" customHeight="1" x14ac:dyDescent="0.25">
      <c r="A84" s="365" t="s">
        <v>156</v>
      </c>
      <c r="B84" s="366">
        <v>303</v>
      </c>
      <c r="C84" s="362" t="s">
        <v>37</v>
      </c>
      <c r="D84" s="362" t="s">
        <v>42</v>
      </c>
      <c r="E84" s="364" t="s">
        <v>67</v>
      </c>
      <c r="F84" s="342">
        <v>630</v>
      </c>
      <c r="G84" s="358">
        <v>20</v>
      </c>
      <c r="H84" s="358">
        <v>20</v>
      </c>
    </row>
    <row r="85" spans="1:8" s="1" customFormat="1" ht="51.6" customHeight="1" x14ac:dyDescent="0.25">
      <c r="A85" s="382" t="s">
        <v>194</v>
      </c>
      <c r="B85" s="293">
        <v>303</v>
      </c>
      <c r="C85" s="362" t="s">
        <v>37</v>
      </c>
      <c r="D85" s="362" t="s">
        <v>42</v>
      </c>
      <c r="E85" s="321" t="s">
        <v>196</v>
      </c>
      <c r="F85" s="294"/>
      <c r="G85" s="369">
        <f>G86</f>
        <v>67.2</v>
      </c>
      <c r="H85" s="369">
        <f>H86</f>
        <v>67.2</v>
      </c>
    </row>
    <row r="86" spans="1:8" s="175" customFormat="1" ht="73.900000000000006" customHeight="1" x14ac:dyDescent="0.25">
      <c r="A86" s="365" t="s">
        <v>195</v>
      </c>
      <c r="B86" s="366">
        <v>303</v>
      </c>
      <c r="C86" s="362" t="s">
        <v>37</v>
      </c>
      <c r="D86" s="362" t="s">
        <v>42</v>
      </c>
      <c r="E86" s="364" t="s">
        <v>225</v>
      </c>
      <c r="F86" s="342"/>
      <c r="G86" s="358">
        <f>G87</f>
        <v>67.2</v>
      </c>
      <c r="H86" s="358">
        <f t="shared" ref="H86:H87" si="23">H87</f>
        <v>67.2</v>
      </c>
    </row>
    <row r="87" spans="1:8" ht="46.15" customHeight="1" x14ac:dyDescent="0.25">
      <c r="A87" s="146" t="s">
        <v>65</v>
      </c>
      <c r="B87" s="366">
        <v>303</v>
      </c>
      <c r="C87" s="362" t="s">
        <v>37</v>
      </c>
      <c r="D87" s="362" t="s">
        <v>42</v>
      </c>
      <c r="E87" s="364" t="s">
        <v>225</v>
      </c>
      <c r="F87" s="342">
        <v>200</v>
      </c>
      <c r="G87" s="358">
        <f>G88</f>
        <v>67.2</v>
      </c>
      <c r="H87" s="358">
        <f t="shared" si="23"/>
        <v>67.2</v>
      </c>
    </row>
    <row r="88" spans="1:8" ht="59.45" customHeight="1" x14ac:dyDescent="0.25">
      <c r="A88" s="146" t="s">
        <v>28</v>
      </c>
      <c r="B88" s="366">
        <v>303</v>
      </c>
      <c r="C88" s="362" t="s">
        <v>37</v>
      </c>
      <c r="D88" s="362" t="s">
        <v>42</v>
      </c>
      <c r="E88" s="364" t="s">
        <v>225</v>
      </c>
      <c r="F88" s="342">
        <v>240</v>
      </c>
      <c r="G88" s="358">
        <v>67.2</v>
      </c>
      <c r="H88" s="358">
        <v>67.2</v>
      </c>
    </row>
    <row r="89" spans="1:8" ht="25.15" customHeight="1" x14ac:dyDescent="0.25">
      <c r="A89" s="365" t="s">
        <v>6</v>
      </c>
      <c r="B89" s="366">
        <v>303</v>
      </c>
      <c r="C89" s="362" t="s">
        <v>38</v>
      </c>
      <c r="D89" s="362" t="s">
        <v>35</v>
      </c>
      <c r="E89" s="368"/>
      <c r="F89" s="343"/>
      <c r="G89" s="367">
        <f>G90</f>
        <v>1740.2</v>
      </c>
      <c r="H89" s="367">
        <f t="shared" ref="H89:H102" si="24">H90</f>
        <v>1740.2</v>
      </c>
    </row>
    <row r="90" spans="1:8" ht="25.9" customHeight="1" x14ac:dyDescent="0.25">
      <c r="A90" s="365" t="s">
        <v>8</v>
      </c>
      <c r="B90" s="366">
        <v>303</v>
      </c>
      <c r="C90" s="362" t="s">
        <v>38</v>
      </c>
      <c r="D90" s="362" t="s">
        <v>43</v>
      </c>
      <c r="E90" s="368"/>
      <c r="F90" s="343"/>
      <c r="G90" s="367">
        <f>G91+G104+G114+G121</f>
        <v>1740.2</v>
      </c>
      <c r="H90" s="367">
        <f t="shared" ref="H90" si="25">H91+H104+H114+H121</f>
        <v>1740.2</v>
      </c>
    </row>
    <row r="91" spans="1:8" ht="96" customHeight="1" x14ac:dyDescent="0.25">
      <c r="A91" s="318" t="s">
        <v>69</v>
      </c>
      <c r="B91" s="366">
        <v>303</v>
      </c>
      <c r="C91" s="362" t="s">
        <v>38</v>
      </c>
      <c r="D91" s="362" t="s">
        <v>43</v>
      </c>
      <c r="E91" s="364" t="s">
        <v>70</v>
      </c>
      <c r="F91" s="342"/>
      <c r="G91" s="358">
        <f>G98+G92+G95+G101</f>
        <v>1540.2</v>
      </c>
      <c r="H91" s="358">
        <f t="shared" ref="H91" si="26">H98+H92+H95+H101</f>
        <v>1540.2</v>
      </c>
    </row>
    <row r="92" spans="1:8" ht="37.15" customHeight="1" x14ac:dyDescent="0.25">
      <c r="A92" s="146" t="s">
        <v>188</v>
      </c>
      <c r="B92" s="293">
        <v>303</v>
      </c>
      <c r="C92" s="362" t="s">
        <v>38</v>
      </c>
      <c r="D92" s="362" t="s">
        <v>43</v>
      </c>
      <c r="E92" s="40" t="s">
        <v>189</v>
      </c>
      <c r="F92" s="294"/>
      <c r="G92" s="369">
        <f>G93</f>
        <v>153.19999999999999</v>
      </c>
      <c r="H92" s="369">
        <f t="shared" ref="H92:H93" si="27">H93</f>
        <v>153.19999999999999</v>
      </c>
    </row>
    <row r="93" spans="1:8" ht="40.15" customHeight="1" x14ac:dyDescent="0.25">
      <c r="A93" s="146" t="s">
        <v>65</v>
      </c>
      <c r="B93" s="293">
        <v>303</v>
      </c>
      <c r="C93" s="362" t="s">
        <v>38</v>
      </c>
      <c r="D93" s="362" t="s">
        <v>43</v>
      </c>
      <c r="E93" s="40" t="s">
        <v>189</v>
      </c>
      <c r="F93" s="294">
        <v>200</v>
      </c>
      <c r="G93" s="369">
        <f>G94</f>
        <v>153.19999999999999</v>
      </c>
      <c r="H93" s="369">
        <f t="shared" si="27"/>
        <v>153.19999999999999</v>
      </c>
    </row>
    <row r="94" spans="1:8" ht="48.6" customHeight="1" x14ac:dyDescent="0.25">
      <c r="A94" s="146" t="s">
        <v>28</v>
      </c>
      <c r="B94" s="293">
        <v>303</v>
      </c>
      <c r="C94" s="362" t="s">
        <v>38</v>
      </c>
      <c r="D94" s="362" t="s">
        <v>43</v>
      </c>
      <c r="E94" s="40" t="s">
        <v>189</v>
      </c>
      <c r="F94" s="294">
        <v>240</v>
      </c>
      <c r="G94" s="369">
        <v>153.19999999999999</v>
      </c>
      <c r="H94" s="369">
        <v>153.19999999999999</v>
      </c>
    </row>
    <row r="95" spans="1:8" ht="112.15" hidden="1" customHeight="1" x14ac:dyDescent="0.25">
      <c r="A95" s="146" t="s">
        <v>237</v>
      </c>
      <c r="B95" s="293">
        <v>303</v>
      </c>
      <c r="C95" s="362" t="s">
        <v>38</v>
      </c>
      <c r="D95" s="362" t="s">
        <v>43</v>
      </c>
      <c r="E95" s="40" t="s">
        <v>236</v>
      </c>
      <c r="F95" s="294"/>
      <c r="G95" s="369">
        <f>G96</f>
        <v>0</v>
      </c>
      <c r="H95" s="369">
        <f t="shared" ref="H95:H96" si="28">H96</f>
        <v>0</v>
      </c>
    </row>
    <row r="96" spans="1:8" ht="40.15" hidden="1" customHeight="1" x14ac:dyDescent="0.25">
      <c r="A96" s="146" t="s">
        <v>65</v>
      </c>
      <c r="B96" s="293">
        <v>303</v>
      </c>
      <c r="C96" s="362" t="s">
        <v>38</v>
      </c>
      <c r="D96" s="362" t="s">
        <v>43</v>
      </c>
      <c r="E96" s="40" t="s">
        <v>236</v>
      </c>
      <c r="F96" s="294">
        <v>200</v>
      </c>
      <c r="G96" s="369">
        <f>G97</f>
        <v>0</v>
      </c>
      <c r="H96" s="369">
        <f t="shared" si="28"/>
        <v>0</v>
      </c>
    </row>
    <row r="97" spans="1:8" ht="48.6" hidden="1" customHeight="1" x14ac:dyDescent="0.25">
      <c r="A97" s="146" t="s">
        <v>28</v>
      </c>
      <c r="B97" s="293">
        <v>303</v>
      </c>
      <c r="C97" s="362" t="s">
        <v>38</v>
      </c>
      <c r="D97" s="362" t="s">
        <v>43</v>
      </c>
      <c r="E97" s="40" t="s">
        <v>236</v>
      </c>
      <c r="F97" s="294">
        <v>240</v>
      </c>
      <c r="G97" s="369">
        <v>0</v>
      </c>
      <c r="H97" s="369">
        <f>0</f>
        <v>0</v>
      </c>
    </row>
    <row r="98" spans="1:8" ht="157.5" x14ac:dyDescent="0.25">
      <c r="A98" s="318" t="s">
        <v>157</v>
      </c>
      <c r="B98" s="366">
        <v>303</v>
      </c>
      <c r="C98" s="362" t="s">
        <v>38</v>
      </c>
      <c r="D98" s="362" t="s">
        <v>43</v>
      </c>
      <c r="E98" s="321" t="s">
        <v>72</v>
      </c>
      <c r="F98" s="342"/>
      <c r="G98" s="358">
        <f>G99</f>
        <v>1023</v>
      </c>
      <c r="H98" s="358">
        <f t="shared" si="24"/>
        <v>1023</v>
      </c>
    </row>
    <row r="99" spans="1:8" ht="31.5" x14ac:dyDescent="0.25">
      <c r="A99" s="318" t="s">
        <v>65</v>
      </c>
      <c r="B99" s="366">
        <v>303</v>
      </c>
      <c r="C99" s="362" t="s">
        <v>38</v>
      </c>
      <c r="D99" s="362" t="s">
        <v>43</v>
      </c>
      <c r="E99" s="321" t="s">
        <v>72</v>
      </c>
      <c r="F99" s="342">
        <v>200</v>
      </c>
      <c r="G99" s="358">
        <f>G100</f>
        <v>1023</v>
      </c>
      <c r="H99" s="358">
        <f t="shared" si="24"/>
        <v>1023</v>
      </c>
    </row>
    <row r="100" spans="1:8" ht="47.25" x14ac:dyDescent="0.25">
      <c r="A100" s="318" t="s">
        <v>28</v>
      </c>
      <c r="B100" s="366">
        <v>303</v>
      </c>
      <c r="C100" s="362" t="s">
        <v>38</v>
      </c>
      <c r="D100" s="362" t="s">
        <v>43</v>
      </c>
      <c r="E100" s="321" t="s">
        <v>72</v>
      </c>
      <c r="F100" s="342">
        <v>240</v>
      </c>
      <c r="G100" s="358">
        <v>1023</v>
      </c>
      <c r="H100" s="358">
        <v>1023</v>
      </c>
    </row>
    <row r="101" spans="1:8" ht="31.5" x14ac:dyDescent="0.25">
      <c r="A101" s="318" t="s">
        <v>292</v>
      </c>
      <c r="B101" s="366">
        <v>303</v>
      </c>
      <c r="C101" s="362" t="s">
        <v>38</v>
      </c>
      <c r="D101" s="362" t="s">
        <v>43</v>
      </c>
      <c r="E101" s="321" t="s">
        <v>250</v>
      </c>
      <c r="F101" s="342"/>
      <c r="G101" s="358">
        <f>G102</f>
        <v>364</v>
      </c>
      <c r="H101" s="358">
        <f t="shared" si="24"/>
        <v>364</v>
      </c>
    </row>
    <row r="102" spans="1:8" ht="31.5" x14ac:dyDescent="0.25">
      <c r="A102" s="318" t="s">
        <v>65</v>
      </c>
      <c r="B102" s="366">
        <v>303</v>
      </c>
      <c r="C102" s="362" t="s">
        <v>38</v>
      </c>
      <c r="D102" s="362" t="s">
        <v>43</v>
      </c>
      <c r="E102" s="321" t="s">
        <v>250</v>
      </c>
      <c r="F102" s="342">
        <v>200</v>
      </c>
      <c r="G102" s="358">
        <f>G103</f>
        <v>364</v>
      </c>
      <c r="H102" s="358">
        <f t="shared" si="24"/>
        <v>364</v>
      </c>
    </row>
    <row r="103" spans="1:8" ht="47.25" x14ac:dyDescent="0.25">
      <c r="A103" s="318" t="s">
        <v>28</v>
      </c>
      <c r="B103" s="366">
        <v>303</v>
      </c>
      <c r="C103" s="362" t="s">
        <v>38</v>
      </c>
      <c r="D103" s="362" t="s">
        <v>43</v>
      </c>
      <c r="E103" s="321" t="s">
        <v>250</v>
      </c>
      <c r="F103" s="342">
        <v>240</v>
      </c>
      <c r="G103" s="358">
        <v>364</v>
      </c>
      <c r="H103" s="358">
        <v>364</v>
      </c>
    </row>
    <row r="104" spans="1:8" ht="64.900000000000006" hidden="1" customHeight="1" x14ac:dyDescent="0.25">
      <c r="A104" s="318" t="s">
        <v>164</v>
      </c>
      <c r="B104" s="366">
        <v>303</v>
      </c>
      <c r="C104" s="362" t="s">
        <v>38</v>
      </c>
      <c r="D104" s="362" t="s">
        <v>43</v>
      </c>
      <c r="E104" s="321" t="s">
        <v>161</v>
      </c>
      <c r="F104" s="321"/>
      <c r="G104" s="367">
        <f>G111+G105+G108</f>
        <v>0</v>
      </c>
      <c r="H104" s="367">
        <f t="shared" ref="H104" si="29">H111+H105</f>
        <v>0</v>
      </c>
    </row>
    <row r="105" spans="1:8" ht="49.15" hidden="1" customHeight="1" x14ac:dyDescent="0.25">
      <c r="A105" s="146" t="s">
        <v>219</v>
      </c>
      <c r="B105" s="293">
        <v>303</v>
      </c>
      <c r="C105" s="362" t="s">
        <v>38</v>
      </c>
      <c r="D105" s="362" t="s">
        <v>43</v>
      </c>
      <c r="E105" s="40" t="s">
        <v>230</v>
      </c>
      <c r="F105" s="294"/>
      <c r="G105" s="369">
        <f>G106</f>
        <v>0</v>
      </c>
      <c r="H105" s="369">
        <f t="shared" ref="H105:H109" si="30">H106</f>
        <v>0</v>
      </c>
    </row>
    <row r="106" spans="1:8" ht="34.9" hidden="1" customHeight="1" x14ac:dyDescent="0.25">
      <c r="A106" s="146" t="s">
        <v>65</v>
      </c>
      <c r="B106" s="293">
        <v>303</v>
      </c>
      <c r="C106" s="362" t="s">
        <v>38</v>
      </c>
      <c r="D106" s="362" t="s">
        <v>43</v>
      </c>
      <c r="E106" s="40" t="s">
        <v>230</v>
      </c>
      <c r="F106" s="294">
        <v>200</v>
      </c>
      <c r="G106" s="369">
        <f>G107</f>
        <v>0</v>
      </c>
      <c r="H106" s="369">
        <f t="shared" si="30"/>
        <v>0</v>
      </c>
    </row>
    <row r="107" spans="1:8" ht="52.9" hidden="1" customHeight="1" x14ac:dyDescent="0.25">
      <c r="A107" s="146" t="s">
        <v>28</v>
      </c>
      <c r="B107" s="293">
        <v>303</v>
      </c>
      <c r="C107" s="362" t="s">
        <v>38</v>
      </c>
      <c r="D107" s="362" t="s">
        <v>43</v>
      </c>
      <c r="E107" s="40" t="s">
        <v>230</v>
      </c>
      <c r="F107" s="294">
        <v>240</v>
      </c>
      <c r="G107" s="369">
        <v>0</v>
      </c>
      <c r="H107" s="369">
        <f>0</f>
        <v>0</v>
      </c>
    </row>
    <row r="108" spans="1:8" ht="64.900000000000006" hidden="1" customHeight="1" x14ac:dyDescent="0.25">
      <c r="A108" s="146" t="s">
        <v>232</v>
      </c>
      <c r="B108" s="293">
        <v>303</v>
      </c>
      <c r="C108" s="362" t="s">
        <v>38</v>
      </c>
      <c r="D108" s="362" t="s">
        <v>43</v>
      </c>
      <c r="E108" s="40" t="s">
        <v>231</v>
      </c>
      <c r="F108" s="294"/>
      <c r="G108" s="369">
        <f>G109</f>
        <v>0</v>
      </c>
      <c r="H108" s="369">
        <f t="shared" si="30"/>
        <v>0</v>
      </c>
    </row>
    <row r="109" spans="1:8" ht="34.9" hidden="1" customHeight="1" x14ac:dyDescent="0.25">
      <c r="A109" s="146" t="s">
        <v>65</v>
      </c>
      <c r="B109" s="293">
        <v>303</v>
      </c>
      <c r="C109" s="362" t="s">
        <v>38</v>
      </c>
      <c r="D109" s="362" t="s">
        <v>43</v>
      </c>
      <c r="E109" s="40" t="s">
        <v>231</v>
      </c>
      <c r="F109" s="294">
        <v>200</v>
      </c>
      <c r="G109" s="369">
        <f>G110</f>
        <v>0</v>
      </c>
      <c r="H109" s="369">
        <f t="shared" si="30"/>
        <v>0</v>
      </c>
    </row>
    <row r="110" spans="1:8" ht="52.9" hidden="1" customHeight="1" x14ac:dyDescent="0.25">
      <c r="A110" s="146" t="s">
        <v>28</v>
      </c>
      <c r="B110" s="293">
        <v>303</v>
      </c>
      <c r="C110" s="362" t="s">
        <v>38</v>
      </c>
      <c r="D110" s="362" t="s">
        <v>43</v>
      </c>
      <c r="E110" s="40" t="s">
        <v>231</v>
      </c>
      <c r="F110" s="294">
        <v>240</v>
      </c>
      <c r="G110" s="369">
        <v>0</v>
      </c>
      <c r="H110" s="369">
        <f>0</f>
        <v>0</v>
      </c>
    </row>
    <row r="111" spans="1:8" ht="52.9" hidden="1" customHeight="1" x14ac:dyDescent="0.25">
      <c r="A111" s="146" t="s">
        <v>166</v>
      </c>
      <c r="B111" s="366">
        <v>303</v>
      </c>
      <c r="C111" s="362" t="s">
        <v>38</v>
      </c>
      <c r="D111" s="362" t="s">
        <v>43</v>
      </c>
      <c r="E111" s="32" t="s">
        <v>165</v>
      </c>
      <c r="F111" s="20"/>
      <c r="G111" s="367">
        <f>G112</f>
        <v>0</v>
      </c>
      <c r="H111" s="367">
        <f t="shared" ref="H111:H112" si="31">H112</f>
        <v>0</v>
      </c>
    </row>
    <row r="112" spans="1:8" ht="34.15" hidden="1" customHeight="1" x14ac:dyDescent="0.25">
      <c r="A112" s="146" t="s">
        <v>65</v>
      </c>
      <c r="B112" s="366">
        <v>303</v>
      </c>
      <c r="C112" s="362" t="s">
        <v>38</v>
      </c>
      <c r="D112" s="362" t="s">
        <v>43</v>
      </c>
      <c r="E112" s="32" t="s">
        <v>165</v>
      </c>
      <c r="F112" s="20">
        <v>200</v>
      </c>
      <c r="G112" s="367">
        <f>G113</f>
        <v>0</v>
      </c>
      <c r="H112" s="367">
        <f t="shared" si="31"/>
        <v>0</v>
      </c>
    </row>
    <row r="113" spans="1:12" ht="51" hidden="1" customHeight="1" x14ac:dyDescent="0.25">
      <c r="A113" s="146" t="s">
        <v>28</v>
      </c>
      <c r="B113" s="366">
        <v>303</v>
      </c>
      <c r="C113" s="362" t="s">
        <v>38</v>
      </c>
      <c r="D113" s="362" t="s">
        <v>43</v>
      </c>
      <c r="E113" s="32" t="s">
        <v>165</v>
      </c>
      <c r="F113" s="20">
        <v>240</v>
      </c>
      <c r="G113" s="367">
        <f>100820-100820</f>
        <v>0</v>
      </c>
      <c r="H113" s="367">
        <v>0</v>
      </c>
      <c r="L113" s="140" t="s">
        <v>216</v>
      </c>
    </row>
    <row r="114" spans="1:12" ht="96" hidden="1" customHeight="1" x14ac:dyDescent="0.25">
      <c r="A114" s="318" t="s">
        <v>222</v>
      </c>
      <c r="B114" s="366">
        <v>303</v>
      </c>
      <c r="C114" s="362" t="s">
        <v>38</v>
      </c>
      <c r="D114" s="362" t="s">
        <v>43</v>
      </c>
      <c r="E114" s="364" t="s">
        <v>220</v>
      </c>
      <c r="F114" s="342"/>
      <c r="G114" s="358">
        <f>G115+G118</f>
        <v>0</v>
      </c>
      <c r="H114" s="358">
        <f t="shared" ref="H114:H119" si="32">H115</f>
        <v>0</v>
      </c>
    </row>
    <row r="115" spans="1:12" ht="39" hidden="1" customHeight="1" x14ac:dyDescent="0.25">
      <c r="A115" s="146" t="s">
        <v>224</v>
      </c>
      <c r="B115" s="293">
        <v>303</v>
      </c>
      <c r="C115" s="362" t="s">
        <v>38</v>
      </c>
      <c r="D115" s="362" t="s">
        <v>43</v>
      </c>
      <c r="E115" s="40" t="s">
        <v>223</v>
      </c>
      <c r="F115" s="294"/>
      <c r="G115" s="369">
        <f>G116</f>
        <v>0</v>
      </c>
      <c r="H115" s="369">
        <f t="shared" si="32"/>
        <v>0</v>
      </c>
    </row>
    <row r="116" spans="1:12" ht="51" hidden="1" customHeight="1" x14ac:dyDescent="0.25">
      <c r="A116" s="146" t="s">
        <v>65</v>
      </c>
      <c r="B116" s="293">
        <v>303</v>
      </c>
      <c r="C116" s="362" t="s">
        <v>38</v>
      </c>
      <c r="D116" s="362" t="s">
        <v>43</v>
      </c>
      <c r="E116" s="40" t="s">
        <v>223</v>
      </c>
      <c r="F116" s="294">
        <v>200</v>
      </c>
      <c r="G116" s="369">
        <f>G117</f>
        <v>0</v>
      </c>
      <c r="H116" s="369">
        <f t="shared" si="32"/>
        <v>0</v>
      </c>
    </row>
    <row r="117" spans="1:12" ht="51" hidden="1" customHeight="1" x14ac:dyDescent="0.25">
      <c r="A117" s="146" t="s">
        <v>28</v>
      </c>
      <c r="B117" s="293">
        <v>303</v>
      </c>
      <c r="C117" s="362" t="s">
        <v>38</v>
      </c>
      <c r="D117" s="362" t="s">
        <v>43</v>
      </c>
      <c r="E117" s="40" t="s">
        <v>223</v>
      </c>
      <c r="F117" s="294">
        <v>240</v>
      </c>
      <c r="G117" s="369">
        <v>0</v>
      </c>
      <c r="H117" s="369">
        <f>0</f>
        <v>0</v>
      </c>
    </row>
    <row r="118" spans="1:12" ht="54" hidden="1" customHeight="1" x14ac:dyDescent="0.25">
      <c r="A118" s="146" t="s">
        <v>233</v>
      </c>
      <c r="B118" s="293">
        <v>303</v>
      </c>
      <c r="C118" s="362" t="s">
        <v>38</v>
      </c>
      <c r="D118" s="362" t="s">
        <v>43</v>
      </c>
      <c r="E118" s="40" t="s">
        <v>234</v>
      </c>
      <c r="F118" s="294"/>
      <c r="G118" s="369">
        <f>G119</f>
        <v>0</v>
      </c>
      <c r="H118" s="369">
        <f t="shared" si="32"/>
        <v>0</v>
      </c>
    </row>
    <row r="119" spans="1:12" ht="51" hidden="1" customHeight="1" x14ac:dyDescent="0.25">
      <c r="A119" s="146" t="s">
        <v>65</v>
      </c>
      <c r="B119" s="293">
        <v>303</v>
      </c>
      <c r="C119" s="362" t="s">
        <v>38</v>
      </c>
      <c r="D119" s="362" t="s">
        <v>43</v>
      </c>
      <c r="E119" s="40" t="s">
        <v>234</v>
      </c>
      <c r="F119" s="294">
        <v>200</v>
      </c>
      <c r="G119" s="369">
        <f>G120</f>
        <v>0</v>
      </c>
      <c r="H119" s="369">
        <f t="shared" si="32"/>
        <v>0</v>
      </c>
    </row>
    <row r="120" spans="1:12" ht="51" hidden="1" customHeight="1" x14ac:dyDescent="0.25">
      <c r="A120" s="146" t="s">
        <v>28</v>
      </c>
      <c r="B120" s="293">
        <v>303</v>
      </c>
      <c r="C120" s="362" t="s">
        <v>38</v>
      </c>
      <c r="D120" s="362" t="s">
        <v>43</v>
      </c>
      <c r="E120" s="40" t="s">
        <v>234</v>
      </c>
      <c r="F120" s="294">
        <v>240</v>
      </c>
      <c r="G120" s="369">
        <v>0</v>
      </c>
      <c r="H120" s="369">
        <f>0</f>
        <v>0</v>
      </c>
    </row>
    <row r="121" spans="1:12" ht="31.15" customHeight="1" x14ac:dyDescent="0.25">
      <c r="A121" s="318" t="s">
        <v>245</v>
      </c>
      <c r="B121" s="366">
        <v>303</v>
      </c>
      <c r="C121" s="362" t="s">
        <v>38</v>
      </c>
      <c r="D121" s="362" t="s">
        <v>43</v>
      </c>
      <c r="E121" s="321" t="s">
        <v>244</v>
      </c>
      <c r="F121" s="294"/>
      <c r="G121" s="369">
        <f>G122</f>
        <v>200</v>
      </c>
      <c r="H121" s="369">
        <f t="shared" ref="H121" si="33">H122</f>
        <v>200</v>
      </c>
    </row>
    <row r="122" spans="1:12" ht="39" customHeight="1" x14ac:dyDescent="0.25">
      <c r="A122" s="318" t="s">
        <v>240</v>
      </c>
      <c r="B122" s="366">
        <v>303</v>
      </c>
      <c r="C122" s="362" t="s">
        <v>38</v>
      </c>
      <c r="D122" s="362" t="s">
        <v>43</v>
      </c>
      <c r="E122" s="321" t="s">
        <v>239</v>
      </c>
      <c r="F122" s="321"/>
      <c r="G122" s="367">
        <f>G129+G132+G126+G123</f>
        <v>200</v>
      </c>
      <c r="H122" s="367">
        <f t="shared" ref="H122" si="34">H129+H132+H126+H123</f>
        <v>200</v>
      </c>
    </row>
    <row r="123" spans="1:12" ht="64.900000000000006" customHeight="1" x14ac:dyDescent="0.25">
      <c r="A123" s="384" t="s">
        <v>287</v>
      </c>
      <c r="B123" s="366">
        <v>303</v>
      </c>
      <c r="C123" s="362" t="s">
        <v>38</v>
      </c>
      <c r="D123" s="362" t="s">
        <v>43</v>
      </c>
      <c r="E123" s="321" t="s">
        <v>286</v>
      </c>
      <c r="F123" s="321"/>
      <c r="G123" s="367">
        <f>G124</f>
        <v>200</v>
      </c>
      <c r="H123" s="367">
        <f t="shared" ref="H123:H124" si="35">H124</f>
        <v>200</v>
      </c>
    </row>
    <row r="124" spans="1:12" ht="39" customHeight="1" x14ac:dyDescent="0.25">
      <c r="A124" s="318" t="s">
        <v>65</v>
      </c>
      <c r="B124" s="366">
        <v>303</v>
      </c>
      <c r="C124" s="362" t="s">
        <v>38</v>
      </c>
      <c r="D124" s="362" t="s">
        <v>43</v>
      </c>
      <c r="E124" s="321" t="s">
        <v>286</v>
      </c>
      <c r="F124" s="321">
        <v>200</v>
      </c>
      <c r="G124" s="367">
        <f>G125</f>
        <v>200</v>
      </c>
      <c r="H124" s="367">
        <f t="shared" si="35"/>
        <v>200</v>
      </c>
    </row>
    <row r="125" spans="1:12" ht="60" customHeight="1" x14ac:dyDescent="0.25">
      <c r="A125" s="318" t="s">
        <v>28</v>
      </c>
      <c r="B125" s="366">
        <v>303</v>
      </c>
      <c r="C125" s="362" t="s">
        <v>38</v>
      </c>
      <c r="D125" s="362" t="s">
        <v>43</v>
      </c>
      <c r="E125" s="321" t="s">
        <v>286</v>
      </c>
      <c r="F125" s="321">
        <v>240</v>
      </c>
      <c r="G125" s="367">
        <v>200</v>
      </c>
      <c r="H125" s="367">
        <v>200</v>
      </c>
    </row>
    <row r="126" spans="1:12" ht="142.15" hidden="1" customHeight="1" x14ac:dyDescent="0.25">
      <c r="A126" s="384" t="s">
        <v>249</v>
      </c>
      <c r="B126" s="366">
        <v>303</v>
      </c>
      <c r="C126" s="362" t="s">
        <v>38</v>
      </c>
      <c r="D126" s="362" t="s">
        <v>43</v>
      </c>
      <c r="E126" s="321" t="s">
        <v>248</v>
      </c>
      <c r="F126" s="321"/>
      <c r="G126" s="358">
        <f>G127</f>
        <v>0</v>
      </c>
      <c r="H126" s="358">
        <f t="shared" ref="H126:H127" si="36">H127</f>
        <v>0</v>
      </c>
    </row>
    <row r="127" spans="1:12" ht="31.5" hidden="1" x14ac:dyDescent="0.25">
      <c r="A127" s="318" t="s">
        <v>65</v>
      </c>
      <c r="B127" s="366">
        <v>303</v>
      </c>
      <c r="C127" s="362" t="s">
        <v>38</v>
      </c>
      <c r="D127" s="362" t="s">
        <v>43</v>
      </c>
      <c r="E127" s="321" t="s">
        <v>248</v>
      </c>
      <c r="F127" s="321">
        <v>200</v>
      </c>
      <c r="G127" s="358">
        <f>G128</f>
        <v>0</v>
      </c>
      <c r="H127" s="358">
        <f t="shared" si="36"/>
        <v>0</v>
      </c>
    </row>
    <row r="128" spans="1:12" ht="47.25" hidden="1" x14ac:dyDescent="0.25">
      <c r="A128" s="318" t="s">
        <v>28</v>
      </c>
      <c r="B128" s="366">
        <v>303</v>
      </c>
      <c r="C128" s="362" t="s">
        <v>38</v>
      </c>
      <c r="D128" s="362" t="s">
        <v>43</v>
      </c>
      <c r="E128" s="321" t="s">
        <v>248</v>
      </c>
      <c r="F128" s="321">
        <v>240</v>
      </c>
      <c r="G128" s="358">
        <v>0</v>
      </c>
      <c r="H128" s="358">
        <v>0</v>
      </c>
    </row>
    <row r="129" spans="1:8" ht="47.25" hidden="1" x14ac:dyDescent="0.25">
      <c r="A129" s="384" t="s">
        <v>241</v>
      </c>
      <c r="B129" s="366">
        <v>303</v>
      </c>
      <c r="C129" s="362" t="s">
        <v>38</v>
      </c>
      <c r="D129" s="362" t="s">
        <v>43</v>
      </c>
      <c r="E129" s="321" t="s">
        <v>238</v>
      </c>
      <c r="F129" s="321"/>
      <c r="G129" s="358">
        <f>G130</f>
        <v>0</v>
      </c>
      <c r="H129" s="358">
        <f t="shared" ref="H129:H130" si="37">H130</f>
        <v>0</v>
      </c>
    </row>
    <row r="130" spans="1:8" ht="31.5" hidden="1" x14ac:dyDescent="0.25">
      <c r="A130" s="318" t="s">
        <v>65</v>
      </c>
      <c r="B130" s="366">
        <v>303</v>
      </c>
      <c r="C130" s="362" t="s">
        <v>38</v>
      </c>
      <c r="D130" s="362" t="s">
        <v>43</v>
      </c>
      <c r="E130" s="321" t="s">
        <v>238</v>
      </c>
      <c r="F130" s="321">
        <v>200</v>
      </c>
      <c r="G130" s="358">
        <f>G131</f>
        <v>0</v>
      </c>
      <c r="H130" s="358">
        <f t="shared" si="37"/>
        <v>0</v>
      </c>
    </row>
    <row r="131" spans="1:8" ht="47.25" hidden="1" x14ac:dyDescent="0.25">
      <c r="A131" s="318" t="s">
        <v>28</v>
      </c>
      <c r="B131" s="366">
        <v>303</v>
      </c>
      <c r="C131" s="362" t="s">
        <v>38</v>
      </c>
      <c r="D131" s="362" t="s">
        <v>43</v>
      </c>
      <c r="E131" s="321" t="s">
        <v>238</v>
      </c>
      <c r="F131" s="321">
        <v>240</v>
      </c>
      <c r="G131" s="358">
        <v>0</v>
      </c>
      <c r="H131" s="358">
        <v>0</v>
      </c>
    </row>
    <row r="132" spans="1:8" ht="46.15" hidden="1" customHeight="1" x14ac:dyDescent="0.25">
      <c r="A132" s="384" t="s">
        <v>243</v>
      </c>
      <c r="B132" s="366">
        <v>303</v>
      </c>
      <c r="C132" s="362" t="s">
        <v>38</v>
      </c>
      <c r="D132" s="362" t="s">
        <v>43</v>
      </c>
      <c r="E132" s="321" t="s">
        <v>242</v>
      </c>
      <c r="F132" s="321"/>
      <c r="G132" s="358">
        <f>G133</f>
        <v>0</v>
      </c>
      <c r="H132" s="358">
        <f t="shared" ref="H132:H133" si="38">H133</f>
        <v>0</v>
      </c>
    </row>
    <row r="133" spans="1:8" ht="51" hidden="1" customHeight="1" x14ac:dyDescent="0.25">
      <c r="A133" s="318" t="s">
        <v>65</v>
      </c>
      <c r="B133" s="366">
        <v>303</v>
      </c>
      <c r="C133" s="362" t="s">
        <v>38</v>
      </c>
      <c r="D133" s="362" t="s">
        <v>43</v>
      </c>
      <c r="E133" s="321" t="s">
        <v>242</v>
      </c>
      <c r="F133" s="321">
        <v>200</v>
      </c>
      <c r="G133" s="358">
        <f>G134</f>
        <v>0</v>
      </c>
      <c r="H133" s="358">
        <f t="shared" si="38"/>
        <v>0</v>
      </c>
    </row>
    <row r="134" spans="1:8" ht="51" hidden="1" customHeight="1" x14ac:dyDescent="0.25">
      <c r="A134" s="318" t="s">
        <v>28</v>
      </c>
      <c r="B134" s="366">
        <v>303</v>
      </c>
      <c r="C134" s="362" t="s">
        <v>38</v>
      </c>
      <c r="D134" s="362" t="s">
        <v>43</v>
      </c>
      <c r="E134" s="321" t="s">
        <v>242</v>
      </c>
      <c r="F134" s="321">
        <v>240</v>
      </c>
      <c r="G134" s="358">
        <v>0</v>
      </c>
      <c r="H134" s="358">
        <v>0</v>
      </c>
    </row>
    <row r="135" spans="1:8" ht="25.15" customHeight="1" x14ac:dyDescent="0.25">
      <c r="A135" s="365" t="s">
        <v>9</v>
      </c>
      <c r="B135" s="366">
        <v>303</v>
      </c>
      <c r="C135" s="362" t="s">
        <v>44</v>
      </c>
      <c r="D135" s="362" t="s">
        <v>35</v>
      </c>
      <c r="E135" s="368"/>
      <c r="F135" s="343"/>
      <c r="G135" s="367">
        <f>G136+G157+G172+G204</f>
        <v>9186.7800000000007</v>
      </c>
      <c r="H135" s="367">
        <f>H136+H157+H172+H204</f>
        <v>8683.49</v>
      </c>
    </row>
    <row r="136" spans="1:8" ht="18" customHeight="1" x14ac:dyDescent="0.25">
      <c r="A136" s="365" t="s">
        <v>31</v>
      </c>
      <c r="B136" s="366">
        <v>303</v>
      </c>
      <c r="C136" s="362" t="s">
        <v>44</v>
      </c>
      <c r="D136" s="362" t="s">
        <v>33</v>
      </c>
      <c r="E136" s="368"/>
      <c r="F136" s="342"/>
      <c r="G136" s="358">
        <f>G137</f>
        <v>1235.58</v>
      </c>
      <c r="H136" s="358">
        <f t="shared" ref="H136" si="39">H137</f>
        <v>1139.0899999999999</v>
      </c>
    </row>
    <row r="137" spans="1:8" ht="35.450000000000003" customHeight="1" x14ac:dyDescent="0.25">
      <c r="A137" s="385" t="s">
        <v>110</v>
      </c>
      <c r="B137" s="366">
        <v>303</v>
      </c>
      <c r="C137" s="362" t="s">
        <v>44</v>
      </c>
      <c r="D137" s="362" t="s">
        <v>33</v>
      </c>
      <c r="E137" s="321" t="s">
        <v>111</v>
      </c>
      <c r="F137" s="321"/>
      <c r="G137" s="367">
        <f>G141+G151+G138</f>
        <v>1235.58</v>
      </c>
      <c r="H137" s="367">
        <f t="shared" ref="H137" si="40">H141+H151+H138</f>
        <v>1139.0899999999999</v>
      </c>
    </row>
    <row r="138" spans="1:8" ht="61.15" hidden="1" customHeight="1" x14ac:dyDescent="0.25">
      <c r="A138" s="318"/>
      <c r="B138" s="366"/>
      <c r="C138" s="362"/>
      <c r="D138" s="362"/>
      <c r="E138" s="321"/>
      <c r="F138" s="321"/>
      <c r="G138" s="367"/>
      <c r="H138" s="367"/>
    </row>
    <row r="139" spans="1:8" ht="44.45" hidden="1" customHeight="1" x14ac:dyDescent="0.25">
      <c r="A139" s="318"/>
      <c r="B139" s="366"/>
      <c r="C139" s="362"/>
      <c r="D139" s="362"/>
      <c r="E139" s="321"/>
      <c r="F139" s="321"/>
      <c r="G139" s="358"/>
      <c r="H139" s="358"/>
    </row>
    <row r="140" spans="1:8" ht="46.9" hidden="1" customHeight="1" x14ac:dyDescent="0.25">
      <c r="A140" s="318"/>
      <c r="B140" s="366"/>
      <c r="C140" s="362"/>
      <c r="D140" s="362"/>
      <c r="E140" s="321"/>
      <c r="F140" s="321"/>
      <c r="G140" s="358"/>
      <c r="H140" s="358"/>
    </row>
    <row r="141" spans="1:8" ht="35.450000000000003" customHeight="1" x14ac:dyDescent="0.25">
      <c r="A141" s="385" t="s">
        <v>121</v>
      </c>
      <c r="B141" s="366">
        <v>303</v>
      </c>
      <c r="C141" s="362" t="s">
        <v>44</v>
      </c>
      <c r="D141" s="362" t="s">
        <v>33</v>
      </c>
      <c r="E141" s="321" t="s">
        <v>122</v>
      </c>
      <c r="F141" s="321"/>
      <c r="G141" s="367">
        <f>G142+G148</f>
        <v>1235.58</v>
      </c>
      <c r="H141" s="367">
        <f>H142+H148</f>
        <v>1139.0899999999999</v>
      </c>
    </row>
    <row r="142" spans="1:8" ht="36" customHeight="1" x14ac:dyDescent="0.25">
      <c r="A142" s="318" t="s">
        <v>123</v>
      </c>
      <c r="B142" s="366">
        <v>303</v>
      </c>
      <c r="C142" s="362" t="s">
        <v>44</v>
      </c>
      <c r="D142" s="362" t="s">
        <v>33</v>
      </c>
      <c r="E142" s="321" t="s">
        <v>124</v>
      </c>
      <c r="F142" s="321"/>
      <c r="G142" s="367">
        <f>G143+G145</f>
        <v>161.63999999999999</v>
      </c>
      <c r="H142" s="367">
        <f t="shared" ref="H142" si="41">H143+H145</f>
        <v>66.739999999999995</v>
      </c>
    </row>
    <row r="143" spans="1:8" ht="31.5" x14ac:dyDescent="0.25">
      <c r="A143" s="318" t="s">
        <v>65</v>
      </c>
      <c r="B143" s="366">
        <v>303</v>
      </c>
      <c r="C143" s="362" t="s">
        <v>44</v>
      </c>
      <c r="D143" s="362" t="s">
        <v>33</v>
      </c>
      <c r="E143" s="321" t="s">
        <v>124</v>
      </c>
      <c r="F143" s="321">
        <v>200</v>
      </c>
      <c r="G143" s="358">
        <f>G144</f>
        <v>161.63999999999999</v>
      </c>
      <c r="H143" s="358">
        <f t="shared" ref="H143" si="42">H144</f>
        <v>66.739999999999995</v>
      </c>
    </row>
    <row r="144" spans="1:8" ht="47.25" x14ac:dyDescent="0.25">
      <c r="A144" s="318" t="s">
        <v>28</v>
      </c>
      <c r="B144" s="366">
        <v>303</v>
      </c>
      <c r="C144" s="362" t="s">
        <v>44</v>
      </c>
      <c r="D144" s="362" t="s">
        <v>33</v>
      </c>
      <c r="E144" s="321" t="s">
        <v>124</v>
      </c>
      <c r="F144" s="321">
        <v>240</v>
      </c>
      <c r="G144" s="359">
        <v>161.63999999999999</v>
      </c>
      <c r="H144" s="358">
        <v>66.739999999999995</v>
      </c>
    </row>
    <row r="145" spans="1:8" hidden="1" x14ac:dyDescent="0.25">
      <c r="A145" s="153" t="s">
        <v>14</v>
      </c>
      <c r="B145" s="366">
        <v>303</v>
      </c>
      <c r="C145" s="362" t="s">
        <v>44</v>
      </c>
      <c r="D145" s="362" t="s">
        <v>33</v>
      </c>
      <c r="E145" s="321" t="s">
        <v>124</v>
      </c>
      <c r="F145" s="321">
        <v>800</v>
      </c>
      <c r="G145" s="358">
        <f>G147+G146</f>
        <v>0</v>
      </c>
      <c r="H145" s="358">
        <f t="shared" ref="H145" si="43">H147+H146</f>
        <v>0</v>
      </c>
    </row>
    <row r="146" spans="1:8" hidden="1" x14ac:dyDescent="0.25">
      <c r="A146" s="146" t="s">
        <v>190</v>
      </c>
      <c r="B146" s="366">
        <v>303</v>
      </c>
      <c r="C146" s="362" t="s">
        <v>44</v>
      </c>
      <c r="D146" s="362" t="s">
        <v>33</v>
      </c>
      <c r="E146" s="321" t="s">
        <v>124</v>
      </c>
      <c r="F146" s="321">
        <v>830</v>
      </c>
      <c r="G146" s="358">
        <v>0</v>
      </c>
      <c r="H146" s="358">
        <v>0</v>
      </c>
    </row>
    <row r="147" spans="1:8" hidden="1" x14ac:dyDescent="0.25">
      <c r="A147" s="146" t="s">
        <v>15</v>
      </c>
      <c r="B147" s="366">
        <v>303</v>
      </c>
      <c r="C147" s="362" t="s">
        <v>44</v>
      </c>
      <c r="D147" s="362" t="s">
        <v>33</v>
      </c>
      <c r="E147" s="321" t="s">
        <v>124</v>
      </c>
      <c r="F147" s="321">
        <v>850</v>
      </c>
      <c r="G147" s="358">
        <v>0</v>
      </c>
      <c r="H147" s="358">
        <v>0</v>
      </c>
    </row>
    <row r="148" spans="1:8" ht="51" customHeight="1" x14ac:dyDescent="0.25">
      <c r="A148" s="318" t="s">
        <v>127</v>
      </c>
      <c r="B148" s="366">
        <v>303</v>
      </c>
      <c r="C148" s="362" t="s">
        <v>44</v>
      </c>
      <c r="D148" s="362" t="s">
        <v>33</v>
      </c>
      <c r="E148" s="321" t="s">
        <v>129</v>
      </c>
      <c r="F148" s="321"/>
      <c r="G148" s="367">
        <f>G149</f>
        <v>1073.94</v>
      </c>
      <c r="H148" s="367">
        <f t="shared" ref="H148:H149" si="44">H149</f>
        <v>1072.3499999999999</v>
      </c>
    </row>
    <row r="149" spans="1:8" ht="31.5" x14ac:dyDescent="0.25">
      <c r="A149" s="318" t="s">
        <v>65</v>
      </c>
      <c r="B149" s="366">
        <v>303</v>
      </c>
      <c r="C149" s="362" t="s">
        <v>44</v>
      </c>
      <c r="D149" s="362" t="s">
        <v>33</v>
      </c>
      <c r="E149" s="321" t="s">
        <v>129</v>
      </c>
      <c r="F149" s="321">
        <v>200</v>
      </c>
      <c r="G149" s="358">
        <f>G150</f>
        <v>1073.94</v>
      </c>
      <c r="H149" s="358">
        <f t="shared" si="44"/>
        <v>1072.3499999999999</v>
      </c>
    </row>
    <row r="150" spans="1:8" ht="47.25" x14ac:dyDescent="0.25">
      <c r="A150" s="318" t="s">
        <v>28</v>
      </c>
      <c r="B150" s="366">
        <v>303</v>
      </c>
      <c r="C150" s="362" t="s">
        <v>44</v>
      </c>
      <c r="D150" s="362" t="s">
        <v>33</v>
      </c>
      <c r="E150" s="321" t="s">
        <v>129</v>
      </c>
      <c r="F150" s="321">
        <v>240</v>
      </c>
      <c r="G150" s="360">
        <v>1073.94</v>
      </c>
      <c r="H150" s="360">
        <v>1072.3499999999999</v>
      </c>
    </row>
    <row r="151" spans="1:8" ht="57.6" hidden="1" customHeight="1" x14ac:dyDescent="0.25">
      <c r="A151" s="318"/>
      <c r="B151" s="366"/>
      <c r="C151" s="362"/>
      <c r="D151" s="362"/>
      <c r="E151" s="321"/>
      <c r="F151" s="321"/>
      <c r="G151" s="367"/>
      <c r="H151" s="367"/>
    </row>
    <row r="152" spans="1:8" hidden="1" x14ac:dyDescent="0.25">
      <c r="A152" s="384"/>
      <c r="B152" s="366"/>
      <c r="C152" s="362"/>
      <c r="D152" s="362"/>
      <c r="E152" s="321"/>
      <c r="F152" s="321"/>
      <c r="G152" s="358"/>
      <c r="H152" s="358"/>
    </row>
    <row r="153" spans="1:8" hidden="1" x14ac:dyDescent="0.25">
      <c r="A153" s="318"/>
      <c r="B153" s="366"/>
      <c r="C153" s="362"/>
      <c r="D153" s="362"/>
      <c r="E153" s="321"/>
      <c r="F153" s="321"/>
      <c r="G153" s="358"/>
      <c r="H153" s="358"/>
    </row>
    <row r="154" spans="1:8" hidden="1" x14ac:dyDescent="0.25">
      <c r="A154" s="318"/>
      <c r="B154" s="366"/>
      <c r="C154" s="362"/>
      <c r="D154" s="362"/>
      <c r="E154" s="321"/>
      <c r="F154" s="321"/>
      <c r="G154" s="358"/>
      <c r="H154" s="358"/>
    </row>
    <row r="155" spans="1:8" hidden="1" x14ac:dyDescent="0.25">
      <c r="A155" s="318" t="s">
        <v>14</v>
      </c>
      <c r="B155" s="366">
        <v>303</v>
      </c>
      <c r="C155" s="362" t="s">
        <v>44</v>
      </c>
      <c r="D155" s="362" t="s">
        <v>33</v>
      </c>
      <c r="E155" s="321" t="s">
        <v>134</v>
      </c>
      <c r="F155" s="321">
        <v>800</v>
      </c>
      <c r="G155" s="358">
        <f>G156</f>
        <v>0</v>
      </c>
      <c r="H155" s="358">
        <f t="shared" ref="H155" si="45">H156</f>
        <v>0</v>
      </c>
    </row>
    <row r="156" spans="1:8" hidden="1" x14ac:dyDescent="0.25">
      <c r="A156" s="318" t="s">
        <v>190</v>
      </c>
      <c r="B156" s="366">
        <v>303</v>
      </c>
      <c r="C156" s="362" t="s">
        <v>44</v>
      </c>
      <c r="D156" s="362" t="s">
        <v>33</v>
      </c>
      <c r="E156" s="321" t="s">
        <v>134</v>
      </c>
      <c r="F156" s="321">
        <v>830</v>
      </c>
      <c r="G156" s="358">
        <v>0</v>
      </c>
      <c r="H156" s="358">
        <v>0</v>
      </c>
    </row>
    <row r="157" spans="1:8" ht="21.4" customHeight="1" x14ac:dyDescent="0.25">
      <c r="A157" s="365" t="s">
        <v>10</v>
      </c>
      <c r="B157" s="366">
        <v>303</v>
      </c>
      <c r="C157" s="362" t="s">
        <v>44</v>
      </c>
      <c r="D157" s="362" t="s">
        <v>36</v>
      </c>
      <c r="E157" s="368"/>
      <c r="F157" s="342"/>
      <c r="G157" s="358">
        <f>G158</f>
        <v>871.8</v>
      </c>
      <c r="H157" s="358">
        <f t="shared" ref="H157" si="46">H158</f>
        <v>871.7</v>
      </c>
    </row>
    <row r="158" spans="1:8" ht="36.6" customHeight="1" x14ac:dyDescent="0.25">
      <c r="A158" s="385" t="s">
        <v>110</v>
      </c>
      <c r="B158" s="366">
        <v>303</v>
      </c>
      <c r="C158" s="362" t="s">
        <v>44</v>
      </c>
      <c r="D158" s="362" t="s">
        <v>36</v>
      </c>
      <c r="E158" s="321" t="s">
        <v>111</v>
      </c>
      <c r="F158" s="342"/>
      <c r="G158" s="358">
        <f>G162+G168+G159</f>
        <v>871.8</v>
      </c>
      <c r="H158" s="358">
        <f t="shared" ref="H158" si="47">H162+H168+H159</f>
        <v>871.7</v>
      </c>
    </row>
    <row r="159" spans="1:8" ht="37.15" customHeight="1" x14ac:dyDescent="0.25">
      <c r="A159" s="318" t="s">
        <v>293</v>
      </c>
      <c r="B159" s="366">
        <v>303</v>
      </c>
      <c r="C159" s="362" t="s">
        <v>44</v>
      </c>
      <c r="D159" s="362" t="s">
        <v>36</v>
      </c>
      <c r="E159" s="321" t="s">
        <v>294</v>
      </c>
      <c r="F159" s="321"/>
      <c r="G159" s="367">
        <f>G160</f>
        <v>209.5</v>
      </c>
      <c r="H159" s="367">
        <f t="shared" ref="H159:H160" si="48">H160</f>
        <v>209.5</v>
      </c>
    </row>
    <row r="160" spans="1:8" ht="31.5" x14ac:dyDescent="0.25">
      <c r="A160" s="318" t="s">
        <v>65</v>
      </c>
      <c r="B160" s="366">
        <v>303</v>
      </c>
      <c r="C160" s="362" t="s">
        <v>44</v>
      </c>
      <c r="D160" s="362" t="s">
        <v>36</v>
      </c>
      <c r="E160" s="321" t="s">
        <v>294</v>
      </c>
      <c r="F160" s="321">
        <v>200</v>
      </c>
      <c r="G160" s="358">
        <f>G161</f>
        <v>209.5</v>
      </c>
      <c r="H160" s="358">
        <f t="shared" si="48"/>
        <v>209.5</v>
      </c>
    </row>
    <row r="161" spans="1:10" ht="47.25" x14ac:dyDescent="0.25">
      <c r="A161" s="318" t="s">
        <v>28</v>
      </c>
      <c r="B161" s="366">
        <v>303</v>
      </c>
      <c r="C161" s="362" t="s">
        <v>44</v>
      </c>
      <c r="D161" s="362" t="s">
        <v>36</v>
      </c>
      <c r="E161" s="321" t="s">
        <v>294</v>
      </c>
      <c r="F161" s="321">
        <v>240</v>
      </c>
      <c r="G161" s="358">
        <v>209.5</v>
      </c>
      <c r="H161" s="358">
        <v>209.5</v>
      </c>
      <c r="J161" s="140" t="s">
        <v>158</v>
      </c>
    </row>
    <row r="162" spans="1:10" ht="31.9" customHeight="1" x14ac:dyDescent="0.25">
      <c r="A162" s="385" t="s">
        <v>121</v>
      </c>
      <c r="B162" s="366">
        <v>303</v>
      </c>
      <c r="C162" s="362" t="s">
        <v>44</v>
      </c>
      <c r="D162" s="362" t="s">
        <v>36</v>
      </c>
      <c r="E162" s="321" t="s">
        <v>122</v>
      </c>
      <c r="F162" s="342"/>
      <c r="G162" s="358">
        <f>G163</f>
        <v>325.3</v>
      </c>
      <c r="H162" s="358">
        <f t="shared" ref="H162" si="49">H163</f>
        <v>325.2</v>
      </c>
    </row>
    <row r="163" spans="1:10" ht="37.15" customHeight="1" x14ac:dyDescent="0.25">
      <c r="A163" s="318" t="s">
        <v>125</v>
      </c>
      <c r="B163" s="366">
        <v>303</v>
      </c>
      <c r="C163" s="362" t="s">
        <v>44</v>
      </c>
      <c r="D163" s="362" t="s">
        <v>36</v>
      </c>
      <c r="E163" s="321" t="s">
        <v>126</v>
      </c>
      <c r="F163" s="321"/>
      <c r="G163" s="367">
        <f>G164+G166</f>
        <v>325.3</v>
      </c>
      <c r="H163" s="367">
        <f t="shared" ref="H163" si="50">H164+H166</f>
        <v>325.2</v>
      </c>
    </row>
    <row r="164" spans="1:10" ht="31.5" x14ac:dyDescent="0.25">
      <c r="A164" s="318" t="s">
        <v>65</v>
      </c>
      <c r="B164" s="366">
        <v>303</v>
      </c>
      <c r="C164" s="362" t="s">
        <v>44</v>
      </c>
      <c r="D164" s="362" t="s">
        <v>36</v>
      </c>
      <c r="E164" s="321" t="s">
        <v>126</v>
      </c>
      <c r="F164" s="321">
        <v>200</v>
      </c>
      <c r="G164" s="358">
        <f>G165</f>
        <v>325.3</v>
      </c>
      <c r="H164" s="358">
        <f t="shared" ref="H164:H166" si="51">H165</f>
        <v>325.2</v>
      </c>
    </row>
    <row r="165" spans="1:10" ht="47.25" x14ac:dyDescent="0.25">
      <c r="A165" s="318" t="s">
        <v>28</v>
      </c>
      <c r="B165" s="366">
        <v>303</v>
      </c>
      <c r="C165" s="362" t="s">
        <v>44</v>
      </c>
      <c r="D165" s="362" t="s">
        <v>36</v>
      </c>
      <c r="E165" s="321" t="s">
        <v>126</v>
      </c>
      <c r="F165" s="321">
        <v>240</v>
      </c>
      <c r="G165" s="358">
        <v>325.3</v>
      </c>
      <c r="H165" s="358">
        <v>325.2</v>
      </c>
      <c r="J165" s="140" t="s">
        <v>158</v>
      </c>
    </row>
    <row r="166" spans="1:10" hidden="1" x14ac:dyDescent="0.25">
      <c r="A166" s="153" t="s">
        <v>14</v>
      </c>
      <c r="B166" s="366">
        <v>303</v>
      </c>
      <c r="C166" s="362" t="s">
        <v>44</v>
      </c>
      <c r="D166" s="362" t="s">
        <v>36</v>
      </c>
      <c r="E166" s="321" t="s">
        <v>126</v>
      </c>
      <c r="F166" s="321">
        <v>800</v>
      </c>
      <c r="G166" s="358">
        <f>G167</f>
        <v>0</v>
      </c>
      <c r="H166" s="358">
        <f t="shared" si="51"/>
        <v>0</v>
      </c>
    </row>
    <row r="167" spans="1:10" hidden="1" x14ac:dyDescent="0.25">
      <c r="A167" s="146" t="s">
        <v>15</v>
      </c>
      <c r="B167" s="366">
        <v>303</v>
      </c>
      <c r="C167" s="362" t="s">
        <v>44</v>
      </c>
      <c r="D167" s="362" t="s">
        <v>36</v>
      </c>
      <c r="E167" s="321" t="s">
        <v>126</v>
      </c>
      <c r="F167" s="321">
        <v>850</v>
      </c>
      <c r="G167" s="358">
        <v>0</v>
      </c>
      <c r="H167" s="358">
        <v>0</v>
      </c>
      <c r="J167" s="140" t="s">
        <v>158</v>
      </c>
    </row>
    <row r="168" spans="1:10" ht="47.25" x14ac:dyDescent="0.25">
      <c r="A168" s="318" t="s">
        <v>132</v>
      </c>
      <c r="B168" s="366">
        <v>303</v>
      </c>
      <c r="C168" s="362" t="s">
        <v>44</v>
      </c>
      <c r="D168" s="362" t="s">
        <v>36</v>
      </c>
      <c r="E168" s="321" t="s">
        <v>133</v>
      </c>
      <c r="F168" s="321"/>
      <c r="G168" s="358">
        <f>G169</f>
        <v>337</v>
      </c>
      <c r="H168" s="358">
        <f t="shared" ref="H168:H170" si="52">H169</f>
        <v>337</v>
      </c>
    </row>
    <row r="169" spans="1:10" ht="141.75" x14ac:dyDescent="0.25">
      <c r="A169" s="384" t="s">
        <v>77</v>
      </c>
      <c r="B169" s="366">
        <v>303</v>
      </c>
      <c r="C169" s="362" t="s">
        <v>44</v>
      </c>
      <c r="D169" s="362" t="s">
        <v>36</v>
      </c>
      <c r="E169" s="321" t="s">
        <v>134</v>
      </c>
      <c r="F169" s="321"/>
      <c r="G169" s="358">
        <f>G170</f>
        <v>337</v>
      </c>
      <c r="H169" s="358">
        <f t="shared" si="52"/>
        <v>337</v>
      </c>
    </row>
    <row r="170" spans="1:10" ht="31.5" x14ac:dyDescent="0.25">
      <c r="A170" s="318" t="s">
        <v>65</v>
      </c>
      <c r="B170" s="366">
        <v>303</v>
      </c>
      <c r="C170" s="362" t="s">
        <v>44</v>
      </c>
      <c r="D170" s="362" t="s">
        <v>36</v>
      </c>
      <c r="E170" s="321" t="s">
        <v>134</v>
      </c>
      <c r="F170" s="321">
        <v>200</v>
      </c>
      <c r="G170" s="358">
        <f>G171</f>
        <v>337</v>
      </c>
      <c r="H170" s="358">
        <f t="shared" si="52"/>
        <v>337</v>
      </c>
    </row>
    <row r="171" spans="1:10" ht="47.25" x14ac:dyDescent="0.25">
      <c r="A171" s="318" t="s">
        <v>28</v>
      </c>
      <c r="B171" s="366">
        <v>303</v>
      </c>
      <c r="C171" s="362" t="s">
        <v>44</v>
      </c>
      <c r="D171" s="362" t="s">
        <v>36</v>
      </c>
      <c r="E171" s="321" t="s">
        <v>134</v>
      </c>
      <c r="F171" s="321">
        <v>240</v>
      </c>
      <c r="G171" s="358">
        <v>337</v>
      </c>
      <c r="H171" s="358">
        <v>337</v>
      </c>
    </row>
    <row r="172" spans="1:10" ht="18.399999999999999" customHeight="1" x14ac:dyDescent="0.25">
      <c r="A172" s="365" t="s">
        <v>11</v>
      </c>
      <c r="B172" s="366">
        <v>303</v>
      </c>
      <c r="C172" s="362" t="s">
        <v>44</v>
      </c>
      <c r="D172" s="362" t="s">
        <v>37</v>
      </c>
      <c r="E172" s="368"/>
      <c r="F172" s="342"/>
      <c r="G172" s="358">
        <f>G173+G180+G184+G194</f>
        <v>2529.4</v>
      </c>
      <c r="H172" s="358">
        <f>H173+H180+H184+H194</f>
        <v>2424.1</v>
      </c>
    </row>
    <row r="173" spans="1:10" ht="78.75" x14ac:dyDescent="0.25">
      <c r="A173" s="365" t="s">
        <v>73</v>
      </c>
      <c r="B173" s="366">
        <v>303</v>
      </c>
      <c r="C173" s="362" t="s">
        <v>44</v>
      </c>
      <c r="D173" s="362" t="s">
        <v>37</v>
      </c>
      <c r="E173" s="321" t="s">
        <v>74</v>
      </c>
      <c r="F173" s="342"/>
      <c r="G173" s="358">
        <f>G174+G177</f>
        <v>1329.6000000000001</v>
      </c>
      <c r="H173" s="358">
        <f t="shared" ref="H173" si="53">H174+H177</f>
        <v>1224.3</v>
      </c>
    </row>
    <row r="174" spans="1:10" ht="33" customHeight="1" x14ac:dyDescent="0.25">
      <c r="A174" s="318" t="s">
        <v>75</v>
      </c>
      <c r="B174" s="366">
        <v>303</v>
      </c>
      <c r="C174" s="362" t="s">
        <v>44</v>
      </c>
      <c r="D174" s="362" t="s">
        <v>37</v>
      </c>
      <c r="E174" s="155" t="s">
        <v>76</v>
      </c>
      <c r="F174" s="343"/>
      <c r="G174" s="367">
        <f>G175</f>
        <v>1224.4000000000001</v>
      </c>
      <c r="H174" s="367">
        <f t="shared" ref="H174:H175" si="54">H175</f>
        <v>1119.0999999999999</v>
      </c>
    </row>
    <row r="175" spans="1:10" ht="37.9" customHeight="1" x14ac:dyDescent="0.25">
      <c r="A175" s="318" t="s">
        <v>65</v>
      </c>
      <c r="B175" s="366">
        <v>303</v>
      </c>
      <c r="C175" s="362" t="s">
        <v>44</v>
      </c>
      <c r="D175" s="362" t="s">
        <v>37</v>
      </c>
      <c r="E175" s="155" t="s">
        <v>76</v>
      </c>
      <c r="F175" s="343">
        <v>200</v>
      </c>
      <c r="G175" s="367">
        <f>G176</f>
        <v>1224.4000000000001</v>
      </c>
      <c r="H175" s="367">
        <f t="shared" si="54"/>
        <v>1119.0999999999999</v>
      </c>
    </row>
    <row r="176" spans="1:10" ht="52.15" customHeight="1" x14ac:dyDescent="0.25">
      <c r="A176" s="318" t="s">
        <v>28</v>
      </c>
      <c r="B176" s="366">
        <v>303</v>
      </c>
      <c r="C176" s="362" t="s">
        <v>44</v>
      </c>
      <c r="D176" s="362" t="s">
        <v>37</v>
      </c>
      <c r="E176" s="155" t="s">
        <v>76</v>
      </c>
      <c r="F176" s="343">
        <v>240</v>
      </c>
      <c r="G176" s="367">
        <v>1224.4000000000001</v>
      </c>
      <c r="H176" s="367">
        <v>1119.0999999999999</v>
      </c>
    </row>
    <row r="177" spans="1:14" ht="141.75" x14ac:dyDescent="0.25">
      <c r="A177" s="384" t="s">
        <v>77</v>
      </c>
      <c r="B177" s="366">
        <v>303</v>
      </c>
      <c r="C177" s="362" t="s">
        <v>44</v>
      </c>
      <c r="D177" s="362" t="s">
        <v>37</v>
      </c>
      <c r="E177" s="155" t="s">
        <v>78</v>
      </c>
      <c r="F177" s="321"/>
      <c r="G177" s="367">
        <f>G178</f>
        <v>105.2</v>
      </c>
      <c r="H177" s="367">
        <f t="shared" ref="H177:H178" si="55">H178</f>
        <v>105.2</v>
      </c>
      <c r="I177" s="167"/>
    </row>
    <row r="178" spans="1:14" ht="31.5" x14ac:dyDescent="0.25">
      <c r="A178" s="318" t="s">
        <v>65</v>
      </c>
      <c r="B178" s="366">
        <v>303</v>
      </c>
      <c r="C178" s="362" t="s">
        <v>44</v>
      </c>
      <c r="D178" s="362" t="s">
        <v>37</v>
      </c>
      <c r="E178" s="155" t="s">
        <v>78</v>
      </c>
      <c r="F178" s="321">
        <v>200</v>
      </c>
      <c r="G178" s="367">
        <f>G179</f>
        <v>105.2</v>
      </c>
      <c r="H178" s="367">
        <f t="shared" si="55"/>
        <v>105.2</v>
      </c>
    </row>
    <row r="179" spans="1:14" ht="47.25" x14ac:dyDescent="0.25">
      <c r="A179" s="318" t="s">
        <v>28</v>
      </c>
      <c r="B179" s="366">
        <v>303</v>
      </c>
      <c r="C179" s="362" t="s">
        <v>44</v>
      </c>
      <c r="D179" s="362" t="s">
        <v>37</v>
      </c>
      <c r="E179" s="155" t="s">
        <v>78</v>
      </c>
      <c r="F179" s="321">
        <v>240</v>
      </c>
      <c r="G179" s="367">
        <v>105.2</v>
      </c>
      <c r="H179" s="367">
        <v>105.2</v>
      </c>
      <c r="J179" s="402"/>
      <c r="K179" s="402"/>
      <c r="L179" s="402"/>
      <c r="M179" s="402"/>
      <c r="N179" s="402"/>
    </row>
    <row r="180" spans="1:14" ht="78.75" x14ac:dyDescent="0.25">
      <c r="A180" s="318" t="s">
        <v>256</v>
      </c>
      <c r="B180" s="366">
        <v>303</v>
      </c>
      <c r="C180" s="362" t="s">
        <v>44</v>
      </c>
      <c r="D180" s="362" t="s">
        <v>37</v>
      </c>
      <c r="E180" s="321" t="s">
        <v>79</v>
      </c>
      <c r="F180" s="321"/>
      <c r="G180" s="367">
        <f>G181</f>
        <v>100</v>
      </c>
      <c r="H180" s="367">
        <f t="shared" ref="H180:H182" si="56">H181</f>
        <v>100</v>
      </c>
    </row>
    <row r="181" spans="1:14" ht="55.9" customHeight="1" x14ac:dyDescent="0.25">
      <c r="A181" s="318" t="s">
        <v>80</v>
      </c>
      <c r="B181" s="366">
        <v>303</v>
      </c>
      <c r="C181" s="362" t="s">
        <v>44</v>
      </c>
      <c r="D181" s="362" t="s">
        <v>37</v>
      </c>
      <c r="E181" s="155" t="s">
        <v>81</v>
      </c>
      <c r="F181" s="321"/>
      <c r="G181" s="367">
        <f>G182</f>
        <v>100</v>
      </c>
      <c r="H181" s="367">
        <f t="shared" si="56"/>
        <v>100</v>
      </c>
    </row>
    <row r="182" spans="1:14" ht="31.5" x14ac:dyDescent="0.25">
      <c r="A182" s="318" t="s">
        <v>65</v>
      </c>
      <c r="B182" s="366">
        <v>303</v>
      </c>
      <c r="C182" s="362" t="s">
        <v>44</v>
      </c>
      <c r="D182" s="362" t="s">
        <v>37</v>
      </c>
      <c r="E182" s="155" t="s">
        <v>81</v>
      </c>
      <c r="F182" s="321">
        <v>200</v>
      </c>
      <c r="G182" s="367">
        <f>G183</f>
        <v>100</v>
      </c>
      <c r="H182" s="367">
        <f t="shared" si="56"/>
        <v>100</v>
      </c>
    </row>
    <row r="183" spans="1:14" ht="47.25" x14ac:dyDescent="0.25">
      <c r="A183" s="318" t="s">
        <v>28</v>
      </c>
      <c r="B183" s="366">
        <v>303</v>
      </c>
      <c r="C183" s="362" t="s">
        <v>44</v>
      </c>
      <c r="D183" s="362" t="s">
        <v>37</v>
      </c>
      <c r="E183" s="155" t="s">
        <v>81</v>
      </c>
      <c r="F183" s="321">
        <v>240</v>
      </c>
      <c r="G183" s="367">
        <v>100</v>
      </c>
      <c r="H183" s="367">
        <v>100</v>
      </c>
    </row>
    <row r="184" spans="1:14" ht="63" x14ac:dyDescent="0.25">
      <c r="A184" s="318" t="s">
        <v>164</v>
      </c>
      <c r="B184" s="366">
        <v>303</v>
      </c>
      <c r="C184" s="362" t="s">
        <v>44</v>
      </c>
      <c r="D184" s="362" t="s">
        <v>37</v>
      </c>
      <c r="E184" s="321" t="s">
        <v>161</v>
      </c>
      <c r="F184" s="321"/>
      <c r="G184" s="367">
        <f>G185+G188+G191</f>
        <v>965.2</v>
      </c>
      <c r="H184" s="367">
        <f t="shared" ref="H184" si="57">H185+H188+H191</f>
        <v>965.2</v>
      </c>
    </row>
    <row r="185" spans="1:14" ht="78.75" x14ac:dyDescent="0.25">
      <c r="A185" s="318" t="s">
        <v>199</v>
      </c>
      <c r="B185" s="366">
        <v>303</v>
      </c>
      <c r="C185" s="362" t="s">
        <v>44</v>
      </c>
      <c r="D185" s="362" t="s">
        <v>37</v>
      </c>
      <c r="E185" s="321" t="s">
        <v>198</v>
      </c>
      <c r="F185" s="321"/>
      <c r="G185" s="367">
        <f>G186</f>
        <v>459</v>
      </c>
      <c r="H185" s="367">
        <f t="shared" ref="H185:H186" si="58">H186</f>
        <v>459</v>
      </c>
    </row>
    <row r="186" spans="1:14" ht="31.5" x14ac:dyDescent="0.25">
      <c r="A186" s="318" t="s">
        <v>65</v>
      </c>
      <c r="B186" s="366">
        <v>303</v>
      </c>
      <c r="C186" s="362" t="s">
        <v>44</v>
      </c>
      <c r="D186" s="362" t="s">
        <v>37</v>
      </c>
      <c r="E186" s="321" t="s">
        <v>198</v>
      </c>
      <c r="F186" s="321">
        <v>200</v>
      </c>
      <c r="G186" s="367">
        <f>G187</f>
        <v>459</v>
      </c>
      <c r="H186" s="367">
        <f t="shared" si="58"/>
        <v>459</v>
      </c>
    </row>
    <row r="187" spans="1:14" ht="47.25" x14ac:dyDescent="0.25">
      <c r="A187" s="318" t="s">
        <v>28</v>
      </c>
      <c r="B187" s="366">
        <v>303</v>
      </c>
      <c r="C187" s="362" t="s">
        <v>44</v>
      </c>
      <c r="D187" s="362" t="s">
        <v>37</v>
      </c>
      <c r="E187" s="321" t="s">
        <v>198</v>
      </c>
      <c r="F187" s="321">
        <v>240</v>
      </c>
      <c r="G187" s="367">
        <v>459</v>
      </c>
      <c r="H187" s="367">
        <v>459</v>
      </c>
      <c r="J187" s="367">
        <f>715.2</f>
        <v>715.2</v>
      </c>
      <c r="K187" s="367">
        <f>827.4</f>
        <v>827.4</v>
      </c>
    </row>
    <row r="188" spans="1:14" ht="31.5" x14ac:dyDescent="0.25">
      <c r="A188" s="318" t="s">
        <v>166</v>
      </c>
      <c r="B188" s="366">
        <v>303</v>
      </c>
      <c r="C188" s="362" t="s">
        <v>44</v>
      </c>
      <c r="D188" s="362" t="s">
        <v>37</v>
      </c>
      <c r="E188" s="321" t="s">
        <v>203</v>
      </c>
      <c r="F188" s="321"/>
      <c r="G188" s="367">
        <f>G189</f>
        <v>506.2</v>
      </c>
      <c r="H188" s="367">
        <f t="shared" ref="H188:H189" si="59">H189</f>
        <v>506.2</v>
      </c>
    </row>
    <row r="189" spans="1:14" ht="31.5" x14ac:dyDescent="0.25">
      <c r="A189" s="318" t="s">
        <v>65</v>
      </c>
      <c r="B189" s="366">
        <v>303</v>
      </c>
      <c r="C189" s="362" t="s">
        <v>44</v>
      </c>
      <c r="D189" s="362" t="s">
        <v>37</v>
      </c>
      <c r="E189" s="321" t="s">
        <v>165</v>
      </c>
      <c r="F189" s="321">
        <v>200</v>
      </c>
      <c r="G189" s="367">
        <f>G190</f>
        <v>506.2</v>
      </c>
      <c r="H189" s="367">
        <f t="shared" si="59"/>
        <v>506.2</v>
      </c>
    </row>
    <row r="190" spans="1:14" ht="47.25" x14ac:dyDescent="0.25">
      <c r="A190" s="318" t="s">
        <v>28</v>
      </c>
      <c r="B190" s="366">
        <v>303</v>
      </c>
      <c r="C190" s="362" t="s">
        <v>44</v>
      </c>
      <c r="D190" s="362" t="s">
        <v>37</v>
      </c>
      <c r="E190" s="321" t="s">
        <v>165</v>
      </c>
      <c r="F190" s="321">
        <v>240</v>
      </c>
      <c r="G190" s="367">
        <v>506.2</v>
      </c>
      <c r="H190" s="367">
        <v>506.2</v>
      </c>
      <c r="J190" s="367">
        <f>715.2</f>
        <v>715.2</v>
      </c>
      <c r="K190" s="367">
        <f>827.4</f>
        <v>827.4</v>
      </c>
    </row>
    <row r="191" spans="1:14" s="1" customFormat="1" ht="47.25" hidden="1" x14ac:dyDescent="0.25">
      <c r="A191" s="318" t="s">
        <v>160</v>
      </c>
      <c r="B191" s="293">
        <v>303</v>
      </c>
      <c r="C191" s="362" t="s">
        <v>44</v>
      </c>
      <c r="D191" s="362" t="s">
        <v>37</v>
      </c>
      <c r="E191" s="321" t="s">
        <v>162</v>
      </c>
      <c r="F191" s="321"/>
      <c r="G191" s="373">
        <f>G192</f>
        <v>0</v>
      </c>
      <c r="H191" s="373">
        <f t="shared" ref="H191:H192" si="60">H192</f>
        <v>0</v>
      </c>
    </row>
    <row r="192" spans="1:14" s="1" customFormat="1" ht="31.5" hidden="1" x14ac:dyDescent="0.25">
      <c r="A192" s="318" t="s">
        <v>65</v>
      </c>
      <c r="B192" s="293">
        <v>303</v>
      </c>
      <c r="C192" s="362" t="s">
        <v>44</v>
      </c>
      <c r="D192" s="362" t="s">
        <v>37</v>
      </c>
      <c r="E192" s="321" t="s">
        <v>163</v>
      </c>
      <c r="F192" s="321">
        <v>200</v>
      </c>
      <c r="G192" s="373">
        <f>G193</f>
        <v>0</v>
      </c>
      <c r="H192" s="373">
        <f t="shared" si="60"/>
        <v>0</v>
      </c>
    </row>
    <row r="193" spans="1:12" s="1" customFormat="1" ht="47.25" hidden="1" x14ac:dyDescent="0.25">
      <c r="A193" s="318" t="s">
        <v>28</v>
      </c>
      <c r="B193" s="293">
        <v>303</v>
      </c>
      <c r="C193" s="362" t="s">
        <v>44</v>
      </c>
      <c r="D193" s="362" t="s">
        <v>37</v>
      </c>
      <c r="E193" s="321" t="s">
        <v>163</v>
      </c>
      <c r="F193" s="321">
        <v>240</v>
      </c>
      <c r="G193" s="374">
        <v>0</v>
      </c>
      <c r="H193" s="374">
        <v>0</v>
      </c>
      <c r="J193" s="373">
        <f>715.2</f>
        <v>715.2</v>
      </c>
      <c r="K193" s="373">
        <f>827.4</f>
        <v>827.4</v>
      </c>
    </row>
    <row r="194" spans="1:12" ht="31.5" x14ac:dyDescent="0.25">
      <c r="A194" s="385" t="s">
        <v>110</v>
      </c>
      <c r="B194" s="366">
        <v>303</v>
      </c>
      <c r="C194" s="362" t="s">
        <v>44</v>
      </c>
      <c r="D194" s="362" t="s">
        <v>37</v>
      </c>
      <c r="E194" s="321" t="s">
        <v>167</v>
      </c>
      <c r="F194" s="321"/>
      <c r="G194" s="367">
        <f>G195</f>
        <v>134.60000000000002</v>
      </c>
      <c r="H194" s="367">
        <f t="shared" ref="H194" si="61">H195</f>
        <v>134.60000000000002</v>
      </c>
    </row>
    <row r="195" spans="1:12" ht="31.5" x14ac:dyDescent="0.25">
      <c r="A195" s="318" t="s">
        <v>116</v>
      </c>
      <c r="B195" s="366">
        <v>303</v>
      </c>
      <c r="C195" s="362" t="s">
        <v>44</v>
      </c>
      <c r="D195" s="362" t="s">
        <v>37</v>
      </c>
      <c r="E195" s="155" t="s">
        <v>117</v>
      </c>
      <c r="F195" s="321"/>
      <c r="G195" s="367">
        <f>G196+G201</f>
        <v>134.60000000000002</v>
      </c>
      <c r="H195" s="367">
        <f t="shared" ref="H195" si="62">H196+H201</f>
        <v>134.60000000000002</v>
      </c>
    </row>
    <row r="196" spans="1:12" ht="31.5" x14ac:dyDescent="0.25">
      <c r="A196" s="318" t="s">
        <v>118</v>
      </c>
      <c r="B196" s="366">
        <v>303</v>
      </c>
      <c r="C196" s="362" t="s">
        <v>44</v>
      </c>
      <c r="D196" s="362" t="s">
        <v>37</v>
      </c>
      <c r="E196" s="155" t="s">
        <v>119</v>
      </c>
      <c r="F196" s="321"/>
      <c r="G196" s="367">
        <f>G197+G199</f>
        <v>39.700000000000003</v>
      </c>
      <c r="H196" s="367">
        <f>H197+H199</f>
        <v>39.700000000000003</v>
      </c>
    </row>
    <row r="197" spans="1:12" ht="31.5" x14ac:dyDescent="0.25">
      <c r="A197" s="318" t="s">
        <v>65</v>
      </c>
      <c r="B197" s="366">
        <v>303</v>
      </c>
      <c r="C197" s="362" t="s">
        <v>44</v>
      </c>
      <c r="D197" s="362" t="s">
        <v>37</v>
      </c>
      <c r="E197" s="155" t="s">
        <v>119</v>
      </c>
      <c r="F197" s="321">
        <v>200</v>
      </c>
      <c r="G197" s="367">
        <f>G198</f>
        <v>39.700000000000003</v>
      </c>
      <c r="H197" s="367">
        <f t="shared" ref="H197" si="63">H198</f>
        <v>39.700000000000003</v>
      </c>
    </row>
    <row r="198" spans="1:12" ht="47.25" x14ac:dyDescent="0.25">
      <c r="A198" s="318" t="s">
        <v>28</v>
      </c>
      <c r="B198" s="366">
        <v>303</v>
      </c>
      <c r="C198" s="362" t="s">
        <v>44</v>
      </c>
      <c r="D198" s="362" t="s">
        <v>37</v>
      </c>
      <c r="E198" s="155" t="s">
        <v>119</v>
      </c>
      <c r="F198" s="321">
        <v>240</v>
      </c>
      <c r="G198" s="367">
        <v>39.700000000000003</v>
      </c>
      <c r="H198" s="367">
        <v>39.700000000000003</v>
      </c>
    </row>
    <row r="199" spans="1:12" hidden="1" x14ac:dyDescent="0.25">
      <c r="A199" s="153" t="s">
        <v>14</v>
      </c>
      <c r="B199" s="366">
        <v>303</v>
      </c>
      <c r="C199" s="362" t="s">
        <v>44</v>
      </c>
      <c r="D199" s="362" t="s">
        <v>37</v>
      </c>
      <c r="E199" s="155" t="s">
        <v>119</v>
      </c>
      <c r="F199" s="321">
        <v>800</v>
      </c>
      <c r="G199" s="358">
        <f>G200</f>
        <v>0</v>
      </c>
      <c r="H199" s="358">
        <f t="shared" ref="H199" si="64">H200</f>
        <v>0</v>
      </c>
    </row>
    <row r="200" spans="1:12" hidden="1" x14ac:dyDescent="0.25">
      <c r="A200" s="146" t="s">
        <v>15</v>
      </c>
      <c r="B200" s="366">
        <v>303</v>
      </c>
      <c r="C200" s="362" t="s">
        <v>44</v>
      </c>
      <c r="D200" s="362" t="s">
        <v>37</v>
      </c>
      <c r="E200" s="155" t="s">
        <v>119</v>
      </c>
      <c r="F200" s="321">
        <v>850</v>
      </c>
      <c r="G200" s="358">
        <v>0</v>
      </c>
      <c r="H200" s="358">
        <v>0</v>
      </c>
      <c r="J200" s="140" t="s">
        <v>158</v>
      </c>
    </row>
    <row r="201" spans="1:12" ht="47.25" x14ac:dyDescent="0.25">
      <c r="A201" s="318" t="s">
        <v>159</v>
      </c>
      <c r="B201" s="366">
        <v>303</v>
      </c>
      <c r="C201" s="362" t="s">
        <v>44</v>
      </c>
      <c r="D201" s="362" t="s">
        <v>37</v>
      </c>
      <c r="E201" s="155" t="s">
        <v>168</v>
      </c>
      <c r="F201" s="321"/>
      <c r="G201" s="367">
        <f>G202</f>
        <v>94.9</v>
      </c>
      <c r="H201" s="367">
        <f t="shared" ref="H201:H202" si="65">H202</f>
        <v>94.9</v>
      </c>
    </row>
    <row r="202" spans="1:12" ht="31.5" x14ac:dyDescent="0.25">
      <c r="A202" s="318" t="s">
        <v>65</v>
      </c>
      <c r="B202" s="366">
        <v>303</v>
      </c>
      <c r="C202" s="362" t="s">
        <v>44</v>
      </c>
      <c r="D202" s="362" t="s">
        <v>37</v>
      </c>
      <c r="E202" s="155" t="s">
        <v>168</v>
      </c>
      <c r="F202" s="321">
        <v>200</v>
      </c>
      <c r="G202" s="367">
        <f>G203</f>
        <v>94.9</v>
      </c>
      <c r="H202" s="367">
        <f t="shared" si="65"/>
        <v>94.9</v>
      </c>
    </row>
    <row r="203" spans="1:12" ht="47.25" x14ac:dyDescent="0.25">
      <c r="A203" s="318" t="s">
        <v>28</v>
      </c>
      <c r="B203" s="366">
        <v>303</v>
      </c>
      <c r="C203" s="362" t="s">
        <v>44</v>
      </c>
      <c r="D203" s="362" t="s">
        <v>37</v>
      </c>
      <c r="E203" s="155" t="s">
        <v>168</v>
      </c>
      <c r="F203" s="321">
        <v>240</v>
      </c>
      <c r="G203" s="367">
        <v>94.9</v>
      </c>
      <c r="H203" s="367">
        <v>94.9</v>
      </c>
    </row>
    <row r="204" spans="1:12" ht="31.5" x14ac:dyDescent="0.25">
      <c r="A204" s="146" t="s">
        <v>174</v>
      </c>
      <c r="B204" s="366">
        <v>303</v>
      </c>
      <c r="C204" s="362" t="s">
        <v>44</v>
      </c>
      <c r="D204" s="362" t="s">
        <v>44</v>
      </c>
      <c r="E204" s="155"/>
      <c r="F204" s="321"/>
      <c r="G204" s="367">
        <f>G205</f>
        <v>4550</v>
      </c>
      <c r="H204" s="367">
        <f t="shared" ref="H204" si="66">H205</f>
        <v>4248.6000000000004</v>
      </c>
      <c r="L204" s="167"/>
    </row>
    <row r="205" spans="1:12" ht="34.9" customHeight="1" x14ac:dyDescent="0.25">
      <c r="A205" s="146" t="s">
        <v>110</v>
      </c>
      <c r="B205" s="366">
        <v>303</v>
      </c>
      <c r="C205" s="362" t="s">
        <v>44</v>
      </c>
      <c r="D205" s="362" t="s">
        <v>44</v>
      </c>
      <c r="E205" s="20" t="s">
        <v>111</v>
      </c>
      <c r="F205" s="20"/>
      <c r="G205" s="367">
        <f>G206+G213</f>
        <v>4550</v>
      </c>
      <c r="H205" s="367">
        <f>H206+H213</f>
        <v>4248.6000000000004</v>
      </c>
    </row>
    <row r="206" spans="1:12" ht="47.25" x14ac:dyDescent="0.25">
      <c r="A206" s="386" t="s">
        <v>112</v>
      </c>
      <c r="B206" s="366">
        <v>303</v>
      </c>
      <c r="C206" s="362" t="s">
        <v>44</v>
      </c>
      <c r="D206" s="362" t="s">
        <v>44</v>
      </c>
      <c r="E206" s="20" t="s">
        <v>113</v>
      </c>
      <c r="F206" s="20"/>
      <c r="G206" s="367">
        <f>G207+G209+G211</f>
        <v>3264.3</v>
      </c>
      <c r="H206" s="367">
        <f t="shared" ref="H206" si="67">H207+H209+H211</f>
        <v>2962.9000000000005</v>
      </c>
    </row>
    <row r="207" spans="1:12" ht="94.5" x14ac:dyDescent="0.25">
      <c r="A207" s="146" t="s">
        <v>12</v>
      </c>
      <c r="B207" s="366">
        <v>303</v>
      </c>
      <c r="C207" s="362" t="s">
        <v>44</v>
      </c>
      <c r="D207" s="362" t="s">
        <v>44</v>
      </c>
      <c r="E207" s="20" t="s">
        <v>113</v>
      </c>
      <c r="F207" s="20">
        <v>100</v>
      </c>
      <c r="G207" s="367">
        <f>G208</f>
        <v>2412.1</v>
      </c>
      <c r="H207" s="367">
        <f t="shared" ref="H207" si="68">H208</f>
        <v>2136.3000000000002</v>
      </c>
    </row>
    <row r="208" spans="1:12" ht="31.5" x14ac:dyDescent="0.25">
      <c r="A208" s="146" t="s">
        <v>114</v>
      </c>
      <c r="B208" s="366">
        <v>303</v>
      </c>
      <c r="C208" s="362" t="s">
        <v>44</v>
      </c>
      <c r="D208" s="362" t="s">
        <v>44</v>
      </c>
      <c r="E208" s="20" t="s">
        <v>113</v>
      </c>
      <c r="F208" s="20">
        <v>110</v>
      </c>
      <c r="G208" s="367">
        <v>2412.1</v>
      </c>
      <c r="H208" s="367">
        <v>2136.3000000000002</v>
      </c>
      <c r="J208" s="83" t="s">
        <v>185</v>
      </c>
      <c r="L208" s="195"/>
    </row>
    <row r="209" spans="1:12" ht="31.5" x14ac:dyDescent="0.25">
      <c r="A209" s="146" t="s">
        <v>65</v>
      </c>
      <c r="B209" s="366">
        <v>303</v>
      </c>
      <c r="C209" s="362" t="s">
        <v>44</v>
      </c>
      <c r="D209" s="362" t="s">
        <v>44</v>
      </c>
      <c r="E209" s="20" t="s">
        <v>113</v>
      </c>
      <c r="F209" s="20">
        <v>200</v>
      </c>
      <c r="G209" s="367">
        <f>G210</f>
        <v>842.2</v>
      </c>
      <c r="H209" s="367">
        <f t="shared" ref="H209" si="69">H210</f>
        <v>817.3</v>
      </c>
    </row>
    <row r="210" spans="1:12" ht="47.25" x14ac:dyDescent="0.25">
      <c r="A210" s="146" t="s">
        <v>28</v>
      </c>
      <c r="B210" s="366">
        <v>303</v>
      </c>
      <c r="C210" s="362" t="s">
        <v>44</v>
      </c>
      <c r="D210" s="362" t="s">
        <v>44</v>
      </c>
      <c r="E210" s="20" t="s">
        <v>113</v>
      </c>
      <c r="F210" s="20">
        <v>240</v>
      </c>
      <c r="G210" s="367">
        <v>842.2</v>
      </c>
      <c r="H210" s="367">
        <v>817.3</v>
      </c>
    </row>
    <row r="211" spans="1:12" x14ac:dyDescent="0.25">
      <c r="A211" s="153" t="s">
        <v>14</v>
      </c>
      <c r="B211" s="366">
        <v>303</v>
      </c>
      <c r="C211" s="362" t="s">
        <v>44</v>
      </c>
      <c r="D211" s="362" t="s">
        <v>44</v>
      </c>
      <c r="E211" s="20" t="s">
        <v>113</v>
      </c>
      <c r="F211" s="20">
        <v>800</v>
      </c>
      <c r="G211" s="367">
        <f>G212</f>
        <v>10</v>
      </c>
      <c r="H211" s="367">
        <f t="shared" ref="H211" si="70">H212</f>
        <v>9.3000000000000007</v>
      </c>
    </row>
    <row r="212" spans="1:12" x14ac:dyDescent="0.25">
      <c r="A212" s="146" t="s">
        <v>15</v>
      </c>
      <c r="B212" s="366">
        <v>303</v>
      </c>
      <c r="C212" s="362" t="s">
        <v>44</v>
      </c>
      <c r="D212" s="362" t="s">
        <v>44</v>
      </c>
      <c r="E212" s="20" t="s">
        <v>113</v>
      </c>
      <c r="F212" s="20">
        <v>850</v>
      </c>
      <c r="G212" s="367">
        <v>10</v>
      </c>
      <c r="H212" s="367">
        <v>9.3000000000000007</v>
      </c>
      <c r="J212" s="8" t="s">
        <v>177</v>
      </c>
    </row>
    <row r="213" spans="1:12" ht="94.5" x14ac:dyDescent="0.25">
      <c r="A213" s="146" t="s">
        <v>88</v>
      </c>
      <c r="B213" s="366">
        <v>303</v>
      </c>
      <c r="C213" s="362" t="s">
        <v>44</v>
      </c>
      <c r="D213" s="362" t="s">
        <v>44</v>
      </c>
      <c r="E213" s="20" t="s">
        <v>115</v>
      </c>
      <c r="F213" s="20"/>
      <c r="G213" s="367">
        <f>G214+G216</f>
        <v>1285.7</v>
      </c>
      <c r="H213" s="367">
        <f t="shared" ref="H213" si="71">H214+H216</f>
        <v>1285.7</v>
      </c>
    </row>
    <row r="214" spans="1:12" ht="94.5" x14ac:dyDescent="0.25">
      <c r="A214" s="146" t="s">
        <v>12</v>
      </c>
      <c r="B214" s="366">
        <v>303</v>
      </c>
      <c r="C214" s="362" t="s">
        <v>44</v>
      </c>
      <c r="D214" s="362" t="s">
        <v>44</v>
      </c>
      <c r="E214" s="20" t="s">
        <v>115</v>
      </c>
      <c r="F214" s="20">
        <v>100</v>
      </c>
      <c r="G214" s="367">
        <f>G215</f>
        <v>1264.7</v>
      </c>
      <c r="H214" s="367">
        <f t="shared" ref="H214" si="72">H215</f>
        <v>1264.7</v>
      </c>
    </row>
    <row r="215" spans="1:12" ht="31.5" x14ac:dyDescent="0.25">
      <c r="A215" s="146" t="s">
        <v>114</v>
      </c>
      <c r="B215" s="366">
        <v>303</v>
      </c>
      <c r="C215" s="362" t="s">
        <v>44</v>
      </c>
      <c r="D215" s="362" t="s">
        <v>44</v>
      </c>
      <c r="E215" s="20" t="s">
        <v>115</v>
      </c>
      <c r="F215" s="20">
        <v>110</v>
      </c>
      <c r="G215" s="367">
        <v>1264.7</v>
      </c>
      <c r="H215" s="367">
        <v>1264.7</v>
      </c>
      <c r="L215" s="195"/>
    </row>
    <row r="216" spans="1:12" ht="31.5" x14ac:dyDescent="0.25">
      <c r="A216" s="146" t="s">
        <v>65</v>
      </c>
      <c r="B216" s="366">
        <v>303</v>
      </c>
      <c r="C216" s="362" t="s">
        <v>44</v>
      </c>
      <c r="D216" s="362" t="s">
        <v>44</v>
      </c>
      <c r="E216" s="20" t="s">
        <v>115</v>
      </c>
      <c r="F216" s="20">
        <v>200</v>
      </c>
      <c r="G216" s="367">
        <f>G217</f>
        <v>21</v>
      </c>
      <c r="H216" s="367">
        <f t="shared" ref="H216" si="73">H217</f>
        <v>21</v>
      </c>
    </row>
    <row r="217" spans="1:12" ht="47.25" x14ac:dyDescent="0.25">
      <c r="A217" s="146" t="s">
        <v>28</v>
      </c>
      <c r="B217" s="366">
        <v>303</v>
      </c>
      <c r="C217" s="362" t="s">
        <v>44</v>
      </c>
      <c r="D217" s="362" t="s">
        <v>44</v>
      </c>
      <c r="E217" s="20" t="s">
        <v>115</v>
      </c>
      <c r="F217" s="20">
        <v>240</v>
      </c>
      <c r="G217" s="367">
        <v>21</v>
      </c>
      <c r="H217" s="367">
        <v>21</v>
      </c>
      <c r="J217" s="140" t="s">
        <v>178</v>
      </c>
    </row>
    <row r="218" spans="1:12" x14ac:dyDescent="0.25">
      <c r="A218" s="20" t="s">
        <v>181</v>
      </c>
      <c r="B218" s="20">
        <v>303</v>
      </c>
      <c r="C218" s="362" t="s">
        <v>39</v>
      </c>
      <c r="D218" s="362" t="s">
        <v>35</v>
      </c>
      <c r="E218" s="151"/>
      <c r="F218" s="20"/>
      <c r="G218" s="367">
        <f>G219</f>
        <v>2958.3</v>
      </c>
      <c r="H218" s="367">
        <f t="shared" ref="H218:H231" si="74">H219</f>
        <v>2958.3</v>
      </c>
    </row>
    <row r="219" spans="1:12" ht="40.9" customHeight="1" x14ac:dyDescent="0.25">
      <c r="A219" s="146" t="s">
        <v>182</v>
      </c>
      <c r="B219" s="20">
        <v>303</v>
      </c>
      <c r="C219" s="362" t="s">
        <v>39</v>
      </c>
      <c r="D219" s="362" t="s">
        <v>44</v>
      </c>
      <c r="E219" s="151"/>
      <c r="F219" s="20"/>
      <c r="G219" s="367">
        <f>G220</f>
        <v>2958.3</v>
      </c>
      <c r="H219" s="367">
        <f t="shared" si="74"/>
        <v>2958.3</v>
      </c>
    </row>
    <row r="220" spans="1:12" ht="78.75" x14ac:dyDescent="0.25">
      <c r="A220" s="146" t="s">
        <v>73</v>
      </c>
      <c r="B220" s="20">
        <v>303</v>
      </c>
      <c r="C220" s="362" t="s">
        <v>39</v>
      </c>
      <c r="D220" s="362" t="s">
        <v>44</v>
      </c>
      <c r="E220" s="40" t="s">
        <v>74</v>
      </c>
      <c r="F220" s="20"/>
      <c r="G220" s="367">
        <f>G224+G227+G230</f>
        <v>2958.3</v>
      </c>
      <c r="H220" s="367">
        <f>H224+H227+H230</f>
        <v>2958.3</v>
      </c>
    </row>
    <row r="221" spans="1:12" ht="31.5" hidden="1" x14ac:dyDescent="0.25">
      <c r="A221" s="146" t="s">
        <v>227</v>
      </c>
      <c r="B221" s="20">
        <v>303</v>
      </c>
      <c r="C221" s="362" t="s">
        <v>39</v>
      </c>
      <c r="D221" s="362" t="s">
        <v>44</v>
      </c>
      <c r="E221" s="20" t="s">
        <v>226</v>
      </c>
      <c r="F221" s="20"/>
      <c r="G221" s="367">
        <f>G222</f>
        <v>0</v>
      </c>
      <c r="H221" s="367">
        <f t="shared" si="74"/>
        <v>0</v>
      </c>
    </row>
    <row r="222" spans="1:12" ht="31.5" hidden="1" x14ac:dyDescent="0.25">
      <c r="A222" s="146" t="s">
        <v>65</v>
      </c>
      <c r="B222" s="20">
        <v>303</v>
      </c>
      <c r="C222" s="362" t="s">
        <v>39</v>
      </c>
      <c r="D222" s="362" t="s">
        <v>44</v>
      </c>
      <c r="E222" s="20" t="s">
        <v>226</v>
      </c>
      <c r="F222" s="20">
        <v>200</v>
      </c>
      <c r="G222" s="367">
        <f>G223</f>
        <v>0</v>
      </c>
      <c r="H222" s="367">
        <f t="shared" si="74"/>
        <v>0</v>
      </c>
    </row>
    <row r="223" spans="1:12" ht="47.25" hidden="1" x14ac:dyDescent="0.25">
      <c r="A223" s="146" t="s">
        <v>28</v>
      </c>
      <c r="B223" s="20">
        <v>303</v>
      </c>
      <c r="C223" s="362" t="s">
        <v>39</v>
      </c>
      <c r="D223" s="362" t="s">
        <v>44</v>
      </c>
      <c r="E223" s="20" t="s">
        <v>226</v>
      </c>
      <c r="F223" s="20">
        <v>240</v>
      </c>
      <c r="G223" s="367">
        <v>0</v>
      </c>
      <c r="H223" s="367">
        <v>0</v>
      </c>
    </row>
    <row r="224" spans="1:12" ht="31.5" x14ac:dyDescent="0.25">
      <c r="A224" s="146" t="s">
        <v>227</v>
      </c>
      <c r="B224" s="20">
        <v>303</v>
      </c>
      <c r="C224" s="362" t="s">
        <v>39</v>
      </c>
      <c r="D224" s="362" t="s">
        <v>44</v>
      </c>
      <c r="E224" s="20" t="s">
        <v>226</v>
      </c>
      <c r="F224" s="20"/>
      <c r="G224" s="367">
        <f>G225</f>
        <v>30.8</v>
      </c>
      <c r="H224" s="367">
        <f t="shared" si="74"/>
        <v>30.8</v>
      </c>
    </row>
    <row r="225" spans="1:8" ht="31.5" x14ac:dyDescent="0.25">
      <c r="A225" s="146" t="s">
        <v>65</v>
      </c>
      <c r="B225" s="20">
        <v>303</v>
      </c>
      <c r="C225" s="362" t="s">
        <v>39</v>
      </c>
      <c r="D225" s="362" t="s">
        <v>44</v>
      </c>
      <c r="E225" s="20" t="s">
        <v>226</v>
      </c>
      <c r="F225" s="20">
        <v>200</v>
      </c>
      <c r="G225" s="367">
        <f>G226</f>
        <v>30.8</v>
      </c>
      <c r="H225" s="367">
        <f t="shared" si="74"/>
        <v>30.8</v>
      </c>
    </row>
    <row r="226" spans="1:8" ht="47.25" x14ac:dyDescent="0.25">
      <c r="A226" s="146" t="s">
        <v>28</v>
      </c>
      <c r="B226" s="20">
        <v>303</v>
      </c>
      <c r="C226" s="362" t="s">
        <v>39</v>
      </c>
      <c r="D226" s="362" t="s">
        <v>44</v>
      </c>
      <c r="E226" s="20" t="s">
        <v>226</v>
      </c>
      <c r="F226" s="20">
        <v>240</v>
      </c>
      <c r="G226" s="367">
        <v>30.8</v>
      </c>
      <c r="H226" s="367">
        <v>30.8</v>
      </c>
    </row>
    <row r="227" spans="1:8" ht="63" x14ac:dyDescent="0.25">
      <c r="A227" s="146" t="s">
        <v>296</v>
      </c>
      <c r="B227" s="20">
        <v>303</v>
      </c>
      <c r="C227" s="362" t="s">
        <v>39</v>
      </c>
      <c r="D227" s="362" t="s">
        <v>44</v>
      </c>
      <c r="E227" s="20" t="s">
        <v>295</v>
      </c>
      <c r="F227" s="20"/>
      <c r="G227" s="367">
        <f>G228</f>
        <v>2609.6</v>
      </c>
      <c r="H227" s="367">
        <f t="shared" si="74"/>
        <v>2609.6</v>
      </c>
    </row>
    <row r="228" spans="1:8" ht="31.5" x14ac:dyDescent="0.25">
      <c r="A228" s="146" t="s">
        <v>65</v>
      </c>
      <c r="B228" s="20">
        <v>303</v>
      </c>
      <c r="C228" s="362" t="s">
        <v>39</v>
      </c>
      <c r="D228" s="362" t="s">
        <v>44</v>
      </c>
      <c r="E228" s="20" t="s">
        <v>295</v>
      </c>
      <c r="F228" s="20">
        <v>200</v>
      </c>
      <c r="G228" s="367">
        <f>G229</f>
        <v>2609.6</v>
      </c>
      <c r="H228" s="367">
        <f t="shared" si="74"/>
        <v>2609.6</v>
      </c>
    </row>
    <row r="229" spans="1:8" ht="47.25" x14ac:dyDescent="0.25">
      <c r="A229" s="146" t="s">
        <v>28</v>
      </c>
      <c r="B229" s="20">
        <v>303</v>
      </c>
      <c r="C229" s="362" t="s">
        <v>39</v>
      </c>
      <c r="D229" s="362" t="s">
        <v>44</v>
      </c>
      <c r="E229" s="20" t="s">
        <v>295</v>
      </c>
      <c r="F229" s="20">
        <v>240</v>
      </c>
      <c r="G229" s="367">
        <v>2609.6</v>
      </c>
      <c r="H229" s="367">
        <v>2609.6</v>
      </c>
    </row>
    <row r="230" spans="1:8" ht="31.5" x14ac:dyDescent="0.25">
      <c r="A230" s="146" t="s">
        <v>175</v>
      </c>
      <c r="B230" s="20">
        <v>303</v>
      </c>
      <c r="C230" s="362" t="s">
        <v>39</v>
      </c>
      <c r="D230" s="362" t="s">
        <v>44</v>
      </c>
      <c r="E230" s="20" t="s">
        <v>183</v>
      </c>
      <c r="F230" s="20"/>
      <c r="G230" s="367">
        <f>G231</f>
        <v>317.89999999999998</v>
      </c>
      <c r="H230" s="367">
        <f t="shared" si="74"/>
        <v>317.89999999999998</v>
      </c>
    </row>
    <row r="231" spans="1:8" ht="31.5" x14ac:dyDescent="0.25">
      <c r="A231" s="146" t="s">
        <v>65</v>
      </c>
      <c r="B231" s="20">
        <v>303</v>
      </c>
      <c r="C231" s="362" t="s">
        <v>39</v>
      </c>
      <c r="D231" s="362" t="s">
        <v>44</v>
      </c>
      <c r="E231" s="20" t="s">
        <v>183</v>
      </c>
      <c r="F231" s="20">
        <v>200</v>
      </c>
      <c r="G231" s="367">
        <f>G232</f>
        <v>317.89999999999998</v>
      </c>
      <c r="H231" s="367">
        <f t="shared" si="74"/>
        <v>317.89999999999998</v>
      </c>
    </row>
    <row r="232" spans="1:8" ht="47.25" x14ac:dyDescent="0.25">
      <c r="A232" s="146" t="s">
        <v>28</v>
      </c>
      <c r="B232" s="20">
        <v>303</v>
      </c>
      <c r="C232" s="362" t="s">
        <v>39</v>
      </c>
      <c r="D232" s="362" t="s">
        <v>44</v>
      </c>
      <c r="E232" s="20" t="s">
        <v>183</v>
      </c>
      <c r="F232" s="20">
        <v>240</v>
      </c>
      <c r="G232" s="367">
        <v>317.89999999999998</v>
      </c>
      <c r="H232" s="367">
        <v>317.89999999999998</v>
      </c>
    </row>
    <row r="233" spans="1:8" ht="20.65" customHeight="1" x14ac:dyDescent="0.25">
      <c r="A233" s="365" t="s">
        <v>16</v>
      </c>
      <c r="B233" s="366">
        <v>303</v>
      </c>
      <c r="C233" s="362" t="s">
        <v>45</v>
      </c>
      <c r="D233" s="362" t="s">
        <v>35</v>
      </c>
      <c r="E233" s="368"/>
      <c r="F233" s="343"/>
      <c r="G233" s="367">
        <f>G234</f>
        <v>37.5</v>
      </c>
      <c r="H233" s="367">
        <f t="shared" ref="H233:H237" si="75">H234</f>
        <v>37.5</v>
      </c>
    </row>
    <row r="234" spans="1:8" ht="22.15" customHeight="1" x14ac:dyDescent="0.25">
      <c r="A234" s="365" t="s">
        <v>30</v>
      </c>
      <c r="B234" s="366">
        <v>303</v>
      </c>
      <c r="C234" s="362" t="s">
        <v>45</v>
      </c>
      <c r="D234" s="362" t="s">
        <v>45</v>
      </c>
      <c r="E234" s="368"/>
      <c r="F234" s="343"/>
      <c r="G234" s="367">
        <f>G235</f>
        <v>37.5</v>
      </c>
      <c r="H234" s="367">
        <f t="shared" si="75"/>
        <v>37.5</v>
      </c>
    </row>
    <row r="235" spans="1:8" ht="31.15" customHeight="1" x14ac:dyDescent="0.25">
      <c r="A235" s="146" t="s">
        <v>135</v>
      </c>
      <c r="B235" s="366">
        <v>303</v>
      </c>
      <c r="C235" s="362" t="s">
        <v>45</v>
      </c>
      <c r="D235" s="362" t="s">
        <v>45</v>
      </c>
      <c r="E235" s="20" t="s">
        <v>136</v>
      </c>
      <c r="F235" s="343"/>
      <c r="G235" s="367">
        <f>G236</f>
        <v>37.5</v>
      </c>
      <c r="H235" s="367">
        <f t="shared" si="75"/>
        <v>37.5</v>
      </c>
    </row>
    <row r="236" spans="1:8" ht="36.6" customHeight="1" x14ac:dyDescent="0.25">
      <c r="A236" s="146" t="s">
        <v>137</v>
      </c>
      <c r="B236" s="366">
        <v>303</v>
      </c>
      <c r="C236" s="362" t="s">
        <v>45</v>
      </c>
      <c r="D236" s="362" t="s">
        <v>45</v>
      </c>
      <c r="E236" s="20" t="s">
        <v>138</v>
      </c>
      <c r="F236" s="343"/>
      <c r="G236" s="367">
        <f>G237</f>
        <v>37.5</v>
      </c>
      <c r="H236" s="367">
        <f t="shared" si="75"/>
        <v>37.5</v>
      </c>
    </row>
    <row r="237" spans="1:8" ht="31.5" x14ac:dyDescent="0.25">
      <c r="A237" s="146" t="s">
        <v>65</v>
      </c>
      <c r="B237" s="366">
        <v>303</v>
      </c>
      <c r="C237" s="362" t="s">
        <v>45</v>
      </c>
      <c r="D237" s="362" t="s">
        <v>45</v>
      </c>
      <c r="E237" s="20" t="s">
        <v>138</v>
      </c>
      <c r="F237" s="343">
        <v>200</v>
      </c>
      <c r="G237" s="367">
        <f>G238</f>
        <v>37.5</v>
      </c>
      <c r="H237" s="367">
        <f t="shared" si="75"/>
        <v>37.5</v>
      </c>
    </row>
    <row r="238" spans="1:8" ht="47.25" x14ac:dyDescent="0.25">
      <c r="A238" s="146" t="s">
        <v>28</v>
      </c>
      <c r="B238" s="366">
        <v>303</v>
      </c>
      <c r="C238" s="362" t="s">
        <v>45</v>
      </c>
      <c r="D238" s="362" t="s">
        <v>45</v>
      </c>
      <c r="E238" s="20" t="s">
        <v>138</v>
      </c>
      <c r="F238" s="343">
        <v>240</v>
      </c>
      <c r="G238" s="367">
        <v>37.5</v>
      </c>
      <c r="H238" s="367">
        <v>37.5</v>
      </c>
    </row>
    <row r="239" spans="1:8" x14ac:dyDescent="0.25">
      <c r="A239" s="365" t="s">
        <v>274</v>
      </c>
      <c r="B239" s="366">
        <v>303</v>
      </c>
      <c r="C239" s="362" t="s">
        <v>270</v>
      </c>
      <c r="D239" s="362" t="s">
        <v>35</v>
      </c>
      <c r="E239" s="368"/>
      <c r="F239" s="343"/>
      <c r="G239" s="367">
        <f>G240</f>
        <v>319.89999999999998</v>
      </c>
      <c r="H239" s="367">
        <f t="shared" ref="H239:H252" si="76">H240</f>
        <v>319.89999999999998</v>
      </c>
    </row>
    <row r="240" spans="1:8" ht="31.5" x14ac:dyDescent="0.25">
      <c r="A240" s="365" t="s">
        <v>275</v>
      </c>
      <c r="B240" s="366">
        <v>303</v>
      </c>
      <c r="C240" s="362" t="s">
        <v>270</v>
      </c>
      <c r="D240" s="362" t="s">
        <v>38</v>
      </c>
      <c r="E240" s="368"/>
      <c r="F240" s="343"/>
      <c r="G240" s="367">
        <f>G241</f>
        <v>319.89999999999998</v>
      </c>
      <c r="H240" s="367">
        <f t="shared" si="76"/>
        <v>319.89999999999998</v>
      </c>
    </row>
    <row r="241" spans="1:8" ht="31.5" x14ac:dyDescent="0.25">
      <c r="A241" s="146" t="s">
        <v>273</v>
      </c>
      <c r="B241" s="366">
        <v>303</v>
      </c>
      <c r="C241" s="362" t="s">
        <v>270</v>
      </c>
      <c r="D241" s="362" t="s">
        <v>38</v>
      </c>
      <c r="E241" s="20" t="s">
        <v>271</v>
      </c>
      <c r="F241" s="343"/>
      <c r="G241" s="367">
        <f>G242+G248+G251+G245</f>
        <v>319.89999999999998</v>
      </c>
      <c r="H241" s="367">
        <f t="shared" ref="H241" si="77">H242+H248+H251+H245</f>
        <v>319.89999999999998</v>
      </c>
    </row>
    <row r="242" spans="1:8" ht="83.45" customHeight="1" x14ac:dyDescent="0.25">
      <c r="A242" s="146" t="s">
        <v>276</v>
      </c>
      <c r="B242" s="366">
        <v>303</v>
      </c>
      <c r="C242" s="362" t="s">
        <v>270</v>
      </c>
      <c r="D242" s="362" t="s">
        <v>38</v>
      </c>
      <c r="E242" s="20" t="s">
        <v>272</v>
      </c>
      <c r="F242" s="343"/>
      <c r="G242" s="367">
        <f>G243</f>
        <v>6</v>
      </c>
      <c r="H242" s="367">
        <f t="shared" si="76"/>
        <v>6</v>
      </c>
    </row>
    <row r="243" spans="1:8" ht="31.5" x14ac:dyDescent="0.25">
      <c r="A243" s="146" t="s">
        <v>65</v>
      </c>
      <c r="B243" s="366">
        <v>303</v>
      </c>
      <c r="C243" s="362" t="s">
        <v>270</v>
      </c>
      <c r="D243" s="362" t="s">
        <v>38</v>
      </c>
      <c r="E243" s="20" t="s">
        <v>272</v>
      </c>
      <c r="F243" s="343">
        <v>200</v>
      </c>
      <c r="G243" s="367">
        <f>G244</f>
        <v>6</v>
      </c>
      <c r="H243" s="367">
        <f t="shared" si="76"/>
        <v>6</v>
      </c>
    </row>
    <row r="244" spans="1:8" ht="47.25" x14ac:dyDescent="0.25">
      <c r="A244" s="146" t="s">
        <v>28</v>
      </c>
      <c r="B244" s="366">
        <v>303</v>
      </c>
      <c r="C244" s="362" t="s">
        <v>270</v>
      </c>
      <c r="D244" s="362" t="s">
        <v>38</v>
      </c>
      <c r="E244" s="20" t="s">
        <v>272</v>
      </c>
      <c r="F244" s="343">
        <v>240</v>
      </c>
      <c r="G244" s="367">
        <v>6</v>
      </c>
      <c r="H244" s="367">
        <v>6</v>
      </c>
    </row>
    <row r="245" spans="1:8" ht="40.15" customHeight="1" x14ac:dyDescent="0.25">
      <c r="A245" s="146" t="s">
        <v>301</v>
      </c>
      <c r="B245" s="366">
        <v>303</v>
      </c>
      <c r="C245" s="362" t="s">
        <v>270</v>
      </c>
      <c r="D245" s="362" t="s">
        <v>38</v>
      </c>
      <c r="E245" s="20" t="s">
        <v>300</v>
      </c>
      <c r="F245" s="343"/>
      <c r="G245" s="367">
        <f>G246</f>
        <v>25</v>
      </c>
      <c r="H245" s="367">
        <f t="shared" si="76"/>
        <v>25</v>
      </c>
    </row>
    <row r="246" spans="1:8" ht="31.5" x14ac:dyDescent="0.25">
      <c r="A246" s="146" t="s">
        <v>65</v>
      </c>
      <c r="B246" s="366">
        <v>303</v>
      </c>
      <c r="C246" s="362" t="s">
        <v>270</v>
      </c>
      <c r="D246" s="362" t="s">
        <v>38</v>
      </c>
      <c r="E246" s="20" t="s">
        <v>300</v>
      </c>
      <c r="F246" s="343">
        <v>200</v>
      </c>
      <c r="G246" s="367">
        <f>G247</f>
        <v>25</v>
      </c>
      <c r="H246" s="367">
        <f t="shared" si="76"/>
        <v>25</v>
      </c>
    </row>
    <row r="247" spans="1:8" ht="47.25" x14ac:dyDescent="0.25">
      <c r="A247" s="146" t="s">
        <v>28</v>
      </c>
      <c r="B247" s="366">
        <v>303</v>
      </c>
      <c r="C247" s="362" t="s">
        <v>270</v>
      </c>
      <c r="D247" s="362" t="s">
        <v>38</v>
      </c>
      <c r="E247" s="20" t="s">
        <v>300</v>
      </c>
      <c r="F247" s="343">
        <v>240</v>
      </c>
      <c r="G247" s="367">
        <v>25</v>
      </c>
      <c r="H247" s="367">
        <v>25</v>
      </c>
    </row>
    <row r="248" spans="1:8" ht="49.9" customHeight="1" x14ac:dyDescent="0.25">
      <c r="A248" s="146" t="s">
        <v>241</v>
      </c>
      <c r="B248" s="366">
        <v>303</v>
      </c>
      <c r="C248" s="362" t="s">
        <v>270</v>
      </c>
      <c r="D248" s="362" t="s">
        <v>38</v>
      </c>
      <c r="E248" s="20" t="s">
        <v>284</v>
      </c>
      <c r="F248" s="343"/>
      <c r="G248" s="367">
        <f>G249</f>
        <v>250</v>
      </c>
      <c r="H248" s="367">
        <f t="shared" si="76"/>
        <v>250</v>
      </c>
    </row>
    <row r="249" spans="1:8" ht="31.5" x14ac:dyDescent="0.25">
      <c r="A249" s="146" t="s">
        <v>65</v>
      </c>
      <c r="B249" s="366">
        <v>303</v>
      </c>
      <c r="C249" s="362" t="s">
        <v>270</v>
      </c>
      <c r="D249" s="362" t="s">
        <v>38</v>
      </c>
      <c r="E249" s="20" t="s">
        <v>284</v>
      </c>
      <c r="F249" s="343">
        <v>200</v>
      </c>
      <c r="G249" s="367">
        <f>G250</f>
        <v>250</v>
      </c>
      <c r="H249" s="367">
        <f t="shared" si="76"/>
        <v>250</v>
      </c>
    </row>
    <row r="250" spans="1:8" ht="47.25" x14ac:dyDescent="0.25">
      <c r="A250" s="146" t="s">
        <v>28</v>
      </c>
      <c r="B250" s="366">
        <v>303</v>
      </c>
      <c r="C250" s="362" t="s">
        <v>270</v>
      </c>
      <c r="D250" s="362" t="s">
        <v>38</v>
      </c>
      <c r="E250" s="20" t="s">
        <v>284</v>
      </c>
      <c r="F250" s="343">
        <v>240</v>
      </c>
      <c r="G250" s="367">
        <v>250</v>
      </c>
      <c r="H250" s="367">
        <v>250</v>
      </c>
    </row>
    <row r="251" spans="1:8" ht="53.45" customHeight="1" x14ac:dyDescent="0.25">
      <c r="A251" s="146" t="s">
        <v>243</v>
      </c>
      <c r="B251" s="366">
        <v>303</v>
      </c>
      <c r="C251" s="362" t="s">
        <v>270</v>
      </c>
      <c r="D251" s="362" t="s">
        <v>38</v>
      </c>
      <c r="E251" s="20" t="s">
        <v>288</v>
      </c>
      <c r="F251" s="343"/>
      <c r="G251" s="367">
        <f>G252</f>
        <v>38.9</v>
      </c>
      <c r="H251" s="367">
        <f t="shared" si="76"/>
        <v>38.9</v>
      </c>
    </row>
    <row r="252" spans="1:8" ht="31.5" x14ac:dyDescent="0.25">
      <c r="A252" s="146" t="s">
        <v>65</v>
      </c>
      <c r="B252" s="366">
        <v>303</v>
      </c>
      <c r="C252" s="362" t="s">
        <v>270</v>
      </c>
      <c r="D252" s="362" t="s">
        <v>38</v>
      </c>
      <c r="E252" s="20" t="s">
        <v>288</v>
      </c>
      <c r="F252" s="343">
        <v>200</v>
      </c>
      <c r="G252" s="367">
        <f>G253</f>
        <v>38.9</v>
      </c>
      <c r="H252" s="367">
        <f t="shared" si="76"/>
        <v>38.9</v>
      </c>
    </row>
    <row r="253" spans="1:8" ht="47.25" x14ac:dyDescent="0.25">
      <c r="A253" s="146" t="s">
        <v>28</v>
      </c>
      <c r="B253" s="366">
        <v>303</v>
      </c>
      <c r="C253" s="362" t="s">
        <v>270</v>
      </c>
      <c r="D253" s="362" t="s">
        <v>38</v>
      </c>
      <c r="E253" s="20" t="s">
        <v>288</v>
      </c>
      <c r="F253" s="343">
        <v>240</v>
      </c>
      <c r="G253" s="367">
        <v>38.9</v>
      </c>
      <c r="H253" s="367">
        <v>38.9</v>
      </c>
    </row>
    <row r="254" spans="1:8" ht="20.25" customHeight="1" x14ac:dyDescent="0.25">
      <c r="A254" s="365" t="s">
        <v>18</v>
      </c>
      <c r="B254" s="366">
        <v>303</v>
      </c>
      <c r="C254" s="362" t="s">
        <v>42</v>
      </c>
      <c r="D254" s="362" t="s">
        <v>35</v>
      </c>
      <c r="E254" s="368"/>
      <c r="F254" s="342"/>
      <c r="G254" s="358">
        <f>G260+G255</f>
        <v>180.44</v>
      </c>
      <c r="H254" s="358">
        <f t="shared" ref="H254" si="78">H260+H255</f>
        <v>165.15</v>
      </c>
    </row>
    <row r="255" spans="1:8" x14ac:dyDescent="0.25">
      <c r="A255" s="292" t="s">
        <v>263</v>
      </c>
      <c r="B255" s="293">
        <v>303</v>
      </c>
      <c r="C255" s="362" t="s">
        <v>42</v>
      </c>
      <c r="D255" s="362" t="s">
        <v>33</v>
      </c>
      <c r="E255" s="20"/>
      <c r="F255" s="343"/>
      <c r="G255" s="367">
        <f>G256</f>
        <v>40</v>
      </c>
      <c r="H255" s="367">
        <f t="shared" ref="H255:H258" si="79">H256</f>
        <v>24.75</v>
      </c>
    </row>
    <row r="256" spans="1:8" ht="31.5" x14ac:dyDescent="0.25">
      <c r="A256" s="292" t="s">
        <v>139</v>
      </c>
      <c r="B256" s="293">
        <v>303</v>
      </c>
      <c r="C256" s="362" t="s">
        <v>42</v>
      </c>
      <c r="D256" s="362" t="s">
        <v>33</v>
      </c>
      <c r="E256" s="20" t="s">
        <v>140</v>
      </c>
      <c r="F256" s="295"/>
      <c r="G256" s="367">
        <f>G257</f>
        <v>40</v>
      </c>
      <c r="H256" s="367">
        <f t="shared" si="79"/>
        <v>24.75</v>
      </c>
    </row>
    <row r="257" spans="1:8" ht="31.5" x14ac:dyDescent="0.25">
      <c r="A257" s="292" t="s">
        <v>264</v>
      </c>
      <c r="B257" s="293">
        <v>303</v>
      </c>
      <c r="C257" s="362" t="s">
        <v>42</v>
      </c>
      <c r="D257" s="362" t="s">
        <v>33</v>
      </c>
      <c r="E257" s="294" t="s">
        <v>267</v>
      </c>
      <c r="F257" s="295"/>
      <c r="G257" s="367">
        <f>G258</f>
        <v>40</v>
      </c>
      <c r="H257" s="367">
        <f t="shared" si="79"/>
        <v>24.75</v>
      </c>
    </row>
    <row r="258" spans="1:8" ht="31.5" x14ac:dyDescent="0.25">
      <c r="A258" s="292" t="s">
        <v>265</v>
      </c>
      <c r="B258" s="293">
        <v>303</v>
      </c>
      <c r="C258" s="362" t="s">
        <v>42</v>
      </c>
      <c r="D258" s="362" t="s">
        <v>33</v>
      </c>
      <c r="E258" s="294" t="s">
        <v>267</v>
      </c>
      <c r="F258" s="295" t="s">
        <v>268</v>
      </c>
      <c r="G258" s="367">
        <f>G259</f>
        <v>40</v>
      </c>
      <c r="H258" s="367">
        <f t="shared" si="79"/>
        <v>24.75</v>
      </c>
    </row>
    <row r="259" spans="1:8" ht="31.5" x14ac:dyDescent="0.25">
      <c r="A259" s="292" t="s">
        <v>266</v>
      </c>
      <c r="B259" s="293">
        <v>303</v>
      </c>
      <c r="C259" s="362" t="s">
        <v>42</v>
      </c>
      <c r="D259" s="362" t="s">
        <v>33</v>
      </c>
      <c r="E259" s="294" t="s">
        <v>267</v>
      </c>
      <c r="F259" s="295" t="s">
        <v>269</v>
      </c>
      <c r="G259" s="367">
        <v>40</v>
      </c>
      <c r="H259" s="367">
        <v>24.75</v>
      </c>
    </row>
    <row r="260" spans="1:8" ht="36.6" customHeight="1" x14ac:dyDescent="0.25">
      <c r="A260" s="145" t="s">
        <v>176</v>
      </c>
      <c r="B260" s="366">
        <v>303</v>
      </c>
      <c r="C260" s="362" t="s">
        <v>42</v>
      </c>
      <c r="D260" s="362" t="s">
        <v>39</v>
      </c>
      <c r="E260" s="343"/>
      <c r="F260" s="20"/>
      <c r="G260" s="358">
        <f t="shared" ref="G260:H264" si="80">G261</f>
        <v>140.44</v>
      </c>
      <c r="H260" s="358">
        <f t="shared" si="80"/>
        <v>140.4</v>
      </c>
    </row>
    <row r="261" spans="1:8" ht="31.5" x14ac:dyDescent="0.25">
      <c r="A261" s="146" t="s">
        <v>139</v>
      </c>
      <c r="B261" s="366">
        <v>303</v>
      </c>
      <c r="C261" s="362" t="s">
        <v>42</v>
      </c>
      <c r="D261" s="362" t="s">
        <v>39</v>
      </c>
      <c r="E261" s="20" t="s">
        <v>140</v>
      </c>
      <c r="F261" s="20"/>
      <c r="G261" s="358">
        <f t="shared" si="80"/>
        <v>140.44</v>
      </c>
      <c r="H261" s="358">
        <f t="shared" si="80"/>
        <v>140.4</v>
      </c>
    </row>
    <row r="262" spans="1:8" ht="37.9" customHeight="1" x14ac:dyDescent="0.25">
      <c r="A262" s="146" t="s">
        <v>141</v>
      </c>
      <c r="B262" s="366">
        <v>303</v>
      </c>
      <c r="C262" s="362" t="s">
        <v>42</v>
      </c>
      <c r="D262" s="362" t="s">
        <v>39</v>
      </c>
      <c r="E262" s="20" t="s">
        <v>142</v>
      </c>
      <c r="F262" s="20"/>
      <c r="G262" s="358">
        <f t="shared" si="80"/>
        <v>140.44</v>
      </c>
      <c r="H262" s="358">
        <f t="shared" si="80"/>
        <v>140.4</v>
      </c>
    </row>
    <row r="263" spans="1:8" ht="31.5" x14ac:dyDescent="0.25">
      <c r="A263" s="145" t="s">
        <v>143</v>
      </c>
      <c r="B263" s="366">
        <v>303</v>
      </c>
      <c r="C263" s="362" t="s">
        <v>42</v>
      </c>
      <c r="D263" s="362" t="s">
        <v>39</v>
      </c>
      <c r="E263" s="20" t="s">
        <v>144</v>
      </c>
      <c r="F263" s="20"/>
      <c r="G263" s="358">
        <f t="shared" si="80"/>
        <v>140.44</v>
      </c>
      <c r="H263" s="358">
        <f t="shared" si="80"/>
        <v>140.4</v>
      </c>
    </row>
    <row r="264" spans="1:8" ht="31.5" x14ac:dyDescent="0.25">
      <c r="A264" s="146" t="s">
        <v>65</v>
      </c>
      <c r="B264" s="366">
        <v>303</v>
      </c>
      <c r="C264" s="362" t="s">
        <v>42</v>
      </c>
      <c r="D264" s="362" t="s">
        <v>39</v>
      </c>
      <c r="E264" s="20" t="s">
        <v>144</v>
      </c>
      <c r="F264" s="20">
        <v>200</v>
      </c>
      <c r="G264" s="358">
        <f t="shared" si="80"/>
        <v>140.44</v>
      </c>
      <c r="H264" s="358">
        <f t="shared" si="80"/>
        <v>140.4</v>
      </c>
    </row>
    <row r="265" spans="1:8" ht="47.25" x14ac:dyDescent="0.25">
      <c r="A265" s="146" t="s">
        <v>28</v>
      </c>
      <c r="B265" s="366">
        <v>303</v>
      </c>
      <c r="C265" s="362" t="s">
        <v>42</v>
      </c>
      <c r="D265" s="362" t="s">
        <v>39</v>
      </c>
      <c r="E265" s="20" t="s">
        <v>144</v>
      </c>
      <c r="F265" s="20">
        <v>240</v>
      </c>
      <c r="G265" s="358">
        <v>140.44</v>
      </c>
      <c r="H265" s="358">
        <v>140.4</v>
      </c>
    </row>
    <row r="266" spans="1:8" ht="17.649999999999999" customHeight="1" x14ac:dyDescent="0.25">
      <c r="A266" s="365" t="s">
        <v>19</v>
      </c>
      <c r="B266" s="366">
        <v>303</v>
      </c>
      <c r="C266" s="362" t="s">
        <v>40</v>
      </c>
      <c r="D266" s="362" t="s">
        <v>35</v>
      </c>
      <c r="E266" s="368"/>
      <c r="F266" s="342"/>
      <c r="G266" s="358">
        <f>G267</f>
        <v>157.98000000000002</v>
      </c>
      <c r="H266" s="358">
        <f>H267</f>
        <v>157.98000000000002</v>
      </c>
    </row>
    <row r="267" spans="1:8" ht="16.899999999999999" customHeight="1" x14ac:dyDescent="0.25">
      <c r="A267" s="365" t="s">
        <v>20</v>
      </c>
      <c r="B267" s="366">
        <v>303</v>
      </c>
      <c r="C267" s="362" t="s">
        <v>40</v>
      </c>
      <c r="D267" s="362" t="s">
        <v>36</v>
      </c>
      <c r="E267" s="368"/>
      <c r="F267" s="342"/>
      <c r="G267" s="358">
        <f>G268</f>
        <v>157.98000000000002</v>
      </c>
      <c r="H267" s="358">
        <f>H268</f>
        <v>157.98000000000002</v>
      </c>
    </row>
    <row r="268" spans="1:8" ht="31.5" x14ac:dyDescent="0.25">
      <c r="A268" s="387" t="s">
        <v>145</v>
      </c>
      <c r="B268" s="366">
        <v>303</v>
      </c>
      <c r="C268" s="362" t="s">
        <v>40</v>
      </c>
      <c r="D268" s="362" t="s">
        <v>36</v>
      </c>
      <c r="E268" s="20" t="s">
        <v>146</v>
      </c>
      <c r="F268" s="20"/>
      <c r="G268" s="367">
        <f>G269+G275+G272</f>
        <v>157.98000000000002</v>
      </c>
      <c r="H268" s="367">
        <f>H269+H275+H272</f>
        <v>157.98000000000002</v>
      </c>
    </row>
    <row r="269" spans="1:8" ht="31.5" x14ac:dyDescent="0.25">
      <c r="A269" s="387" t="s">
        <v>147</v>
      </c>
      <c r="B269" s="366">
        <v>303</v>
      </c>
      <c r="C269" s="362" t="s">
        <v>40</v>
      </c>
      <c r="D269" s="362" t="s">
        <v>36</v>
      </c>
      <c r="E269" s="20" t="s">
        <v>148</v>
      </c>
      <c r="F269" s="20"/>
      <c r="G269" s="367">
        <f>G270</f>
        <v>15</v>
      </c>
      <c r="H269" s="367">
        <f t="shared" ref="H269:H270" si="81">H270</f>
        <v>15</v>
      </c>
    </row>
    <row r="270" spans="1:8" ht="31.5" x14ac:dyDescent="0.25">
      <c r="A270" s="146" t="s">
        <v>65</v>
      </c>
      <c r="B270" s="366">
        <v>303</v>
      </c>
      <c r="C270" s="362" t="s">
        <v>40</v>
      </c>
      <c r="D270" s="362" t="s">
        <v>36</v>
      </c>
      <c r="E270" s="20" t="s">
        <v>148</v>
      </c>
      <c r="F270" s="20">
        <v>200</v>
      </c>
      <c r="G270" s="367">
        <f>G271</f>
        <v>15</v>
      </c>
      <c r="H270" s="367">
        <f t="shared" si="81"/>
        <v>15</v>
      </c>
    </row>
    <row r="271" spans="1:8" ht="51.6" customHeight="1" x14ac:dyDescent="0.25">
      <c r="A271" s="146" t="s">
        <v>28</v>
      </c>
      <c r="B271" s="366">
        <v>303</v>
      </c>
      <c r="C271" s="362" t="s">
        <v>40</v>
      </c>
      <c r="D271" s="362" t="s">
        <v>36</v>
      </c>
      <c r="E271" s="20" t="s">
        <v>148</v>
      </c>
      <c r="F271" s="20">
        <v>240</v>
      </c>
      <c r="G271" s="367">
        <v>15</v>
      </c>
      <c r="H271" s="367">
        <v>15</v>
      </c>
    </row>
    <row r="272" spans="1:8" ht="51.6" customHeight="1" x14ac:dyDescent="0.25">
      <c r="A272" s="146" t="s">
        <v>241</v>
      </c>
      <c r="B272" s="366">
        <v>303</v>
      </c>
      <c r="C272" s="362" t="s">
        <v>40</v>
      </c>
      <c r="D272" s="362" t="s">
        <v>36</v>
      </c>
      <c r="E272" s="20" t="s">
        <v>291</v>
      </c>
      <c r="F272" s="343"/>
      <c r="G272" s="367">
        <f>G273</f>
        <v>138.74</v>
      </c>
      <c r="H272" s="367">
        <f t="shared" ref="H272" si="82">H273</f>
        <v>138.74</v>
      </c>
    </row>
    <row r="273" spans="1:18" ht="51.6" customHeight="1" x14ac:dyDescent="0.25">
      <c r="A273" s="146" t="s">
        <v>65</v>
      </c>
      <c r="B273" s="366">
        <v>303</v>
      </c>
      <c r="C273" s="362" t="s">
        <v>40</v>
      </c>
      <c r="D273" s="362" t="s">
        <v>36</v>
      </c>
      <c r="E273" s="20" t="s">
        <v>291</v>
      </c>
      <c r="F273" s="343">
        <v>200</v>
      </c>
      <c r="G273" s="367">
        <f>G274</f>
        <v>138.74</v>
      </c>
      <c r="H273" s="367">
        <f>H274</f>
        <v>138.74</v>
      </c>
    </row>
    <row r="274" spans="1:18" ht="51.6" customHeight="1" x14ac:dyDescent="0.25">
      <c r="A274" s="146" t="s">
        <v>28</v>
      </c>
      <c r="B274" s="366">
        <v>303</v>
      </c>
      <c r="C274" s="362" t="s">
        <v>40</v>
      </c>
      <c r="D274" s="362" t="s">
        <v>36</v>
      </c>
      <c r="E274" s="20" t="s">
        <v>291</v>
      </c>
      <c r="F274" s="343">
        <v>240</v>
      </c>
      <c r="G274" s="367">
        <v>138.74</v>
      </c>
      <c r="H274" s="367">
        <v>138.74</v>
      </c>
    </row>
    <row r="275" spans="1:18" ht="51.6" customHeight="1" x14ac:dyDescent="0.25">
      <c r="A275" s="146" t="s">
        <v>290</v>
      </c>
      <c r="B275" s="366">
        <v>303</v>
      </c>
      <c r="C275" s="362" t="s">
        <v>40</v>
      </c>
      <c r="D275" s="362" t="s">
        <v>36</v>
      </c>
      <c r="E275" s="20" t="s">
        <v>289</v>
      </c>
      <c r="F275" s="343"/>
      <c r="G275" s="367">
        <f>G276</f>
        <v>4.24</v>
      </c>
      <c r="H275" s="367">
        <f t="shared" ref="H275:H276" si="83">H276</f>
        <v>4.24</v>
      </c>
    </row>
    <row r="276" spans="1:18" ht="44.45" customHeight="1" x14ac:dyDescent="0.25">
      <c r="A276" s="146" t="s">
        <v>65</v>
      </c>
      <c r="B276" s="366">
        <v>303</v>
      </c>
      <c r="C276" s="362" t="s">
        <v>40</v>
      </c>
      <c r="D276" s="362" t="s">
        <v>36</v>
      </c>
      <c r="E276" s="20" t="s">
        <v>289</v>
      </c>
      <c r="F276" s="343">
        <v>200</v>
      </c>
      <c r="G276" s="367">
        <f>G277</f>
        <v>4.24</v>
      </c>
      <c r="H276" s="367">
        <f t="shared" si="83"/>
        <v>4.24</v>
      </c>
    </row>
    <row r="277" spans="1:18" ht="51.6" customHeight="1" x14ac:dyDescent="0.25">
      <c r="A277" s="146" t="s">
        <v>28</v>
      </c>
      <c r="B277" s="366">
        <v>303</v>
      </c>
      <c r="C277" s="362" t="s">
        <v>40</v>
      </c>
      <c r="D277" s="362" t="s">
        <v>36</v>
      </c>
      <c r="E277" s="20" t="s">
        <v>289</v>
      </c>
      <c r="F277" s="343">
        <v>240</v>
      </c>
      <c r="G277" s="367">
        <v>4.24</v>
      </c>
      <c r="H277" s="367">
        <v>4.24</v>
      </c>
    </row>
    <row r="278" spans="1:18" s="370" customFormat="1" ht="21" customHeight="1" x14ac:dyDescent="0.25">
      <c r="A278" s="388"/>
      <c r="B278" s="412"/>
      <c r="C278" s="412"/>
      <c r="D278" s="412"/>
      <c r="E278" s="412"/>
      <c r="F278" s="412"/>
      <c r="G278" s="389"/>
      <c r="H278" s="389"/>
      <c r="L278" s="413"/>
      <c r="M278" s="413"/>
      <c r="N278" s="413"/>
      <c r="O278" s="413"/>
      <c r="P278" s="413"/>
      <c r="Q278" s="413"/>
      <c r="R278" s="413"/>
    </row>
    <row r="279" spans="1:18" s="371" customFormat="1" ht="25.15" customHeight="1" x14ac:dyDescent="0.25">
      <c r="A279" s="414"/>
      <c r="B279" s="414"/>
      <c r="C279" s="414"/>
      <c r="D279" s="414"/>
      <c r="E279" s="414"/>
      <c r="F279" s="414"/>
      <c r="G279" s="389"/>
      <c r="H279" s="389"/>
      <c r="L279" s="413"/>
      <c r="M279" s="413"/>
      <c r="N279" s="413"/>
      <c r="O279" s="413"/>
      <c r="P279" s="413"/>
      <c r="Q279" s="413"/>
      <c r="R279" s="413"/>
    </row>
    <row r="280" spans="1:18" s="371" customFormat="1" x14ac:dyDescent="0.25">
      <c r="A280" s="375"/>
      <c r="C280" s="376"/>
      <c r="E280" s="407"/>
      <c r="F280" s="407"/>
      <c r="G280" s="377"/>
      <c r="H280" s="377"/>
      <c r="L280" s="413"/>
      <c r="M280" s="413"/>
      <c r="N280" s="413"/>
      <c r="O280" s="413"/>
      <c r="P280" s="413"/>
      <c r="Q280" s="413"/>
      <c r="R280" s="413"/>
    </row>
    <row r="281" spans="1:18" s="371" customFormat="1" x14ac:dyDescent="0.25">
      <c r="A281" s="375"/>
      <c r="C281" s="376"/>
      <c r="E281" s="407"/>
      <c r="F281" s="407"/>
      <c r="G281" s="378"/>
      <c r="H281" s="378"/>
      <c r="L281" s="413"/>
      <c r="M281" s="413"/>
      <c r="N281" s="413"/>
      <c r="O281" s="413"/>
      <c r="P281" s="413"/>
      <c r="Q281" s="413"/>
      <c r="R281" s="413"/>
    </row>
    <row r="282" spans="1:18" s="371" customFormat="1" x14ac:dyDescent="0.25">
      <c r="C282" s="376"/>
      <c r="D282" s="407"/>
      <c r="E282" s="407"/>
      <c r="F282" s="407"/>
      <c r="G282" s="378"/>
      <c r="H282" s="378"/>
      <c r="L282" s="413"/>
      <c r="M282" s="413"/>
      <c r="N282" s="413"/>
      <c r="O282" s="413"/>
      <c r="P282" s="413"/>
      <c r="Q282" s="413"/>
      <c r="R282" s="413"/>
    </row>
    <row r="283" spans="1:18" s="371" customFormat="1" x14ac:dyDescent="0.25">
      <c r="C283" s="376"/>
      <c r="D283" s="407"/>
      <c r="E283" s="407"/>
      <c r="F283" s="407"/>
      <c r="G283" s="378"/>
      <c r="H283" s="378"/>
      <c r="L283" s="413"/>
      <c r="M283" s="413"/>
      <c r="N283" s="413"/>
      <c r="O283" s="413"/>
      <c r="P283" s="413"/>
      <c r="Q283" s="413"/>
      <c r="R283" s="413"/>
    </row>
    <row r="284" spans="1:18" s="371" customFormat="1" x14ac:dyDescent="0.25">
      <c r="A284" s="379"/>
      <c r="B284" s="407"/>
      <c r="C284" s="407"/>
      <c r="D284" s="407"/>
      <c r="E284" s="407"/>
      <c r="F284" s="407"/>
      <c r="G284" s="378"/>
      <c r="H284" s="378"/>
    </row>
    <row r="285" spans="1:18" s="371" customFormat="1" x14ac:dyDescent="0.25">
      <c r="C285" s="376"/>
      <c r="E285" s="407"/>
      <c r="F285" s="407"/>
      <c r="G285" s="378"/>
      <c r="H285" s="378"/>
    </row>
    <row r="286" spans="1:18" s="371" customFormat="1" x14ac:dyDescent="0.25">
      <c r="C286" s="376"/>
      <c r="G286" s="378"/>
      <c r="H286" s="378"/>
      <c r="M286" s="372"/>
    </row>
    <row r="287" spans="1:18" s="371" customFormat="1" x14ac:dyDescent="0.25">
      <c r="C287" s="376"/>
      <c r="G287" s="378"/>
      <c r="H287" s="378"/>
    </row>
    <row r="288" spans="1:18" s="371" customFormat="1" x14ac:dyDescent="0.25">
      <c r="C288" s="376"/>
      <c r="F288" s="380"/>
      <c r="G288" s="378"/>
      <c r="H288" s="378"/>
    </row>
    <row r="289" spans="3:8" s="371" customFormat="1" x14ac:dyDescent="0.25">
      <c r="C289" s="376"/>
      <c r="G289" s="378"/>
      <c r="H289" s="378"/>
    </row>
    <row r="290" spans="3:8" s="371" customFormat="1" x14ac:dyDescent="0.25">
      <c r="C290" s="376"/>
      <c r="G290" s="378"/>
      <c r="H290" s="378"/>
    </row>
    <row r="291" spans="3:8" s="371" customFormat="1" x14ac:dyDescent="0.25">
      <c r="C291" s="376"/>
      <c r="G291" s="378"/>
      <c r="H291" s="378"/>
    </row>
    <row r="292" spans="3:8" s="371" customFormat="1" x14ac:dyDescent="0.25">
      <c r="C292" s="376"/>
      <c r="G292" s="378"/>
      <c r="H292" s="378"/>
    </row>
  </sheetData>
  <mergeCells count="20">
    <mergeCell ref="E285:F285"/>
    <mergeCell ref="A6:K7"/>
    <mergeCell ref="G1:H1"/>
    <mergeCell ref="F2:H4"/>
    <mergeCell ref="G9:H9"/>
    <mergeCell ref="J179:N179"/>
    <mergeCell ref="B278:F278"/>
    <mergeCell ref="L278:R283"/>
    <mergeCell ref="A279:F279"/>
    <mergeCell ref="E280:F280"/>
    <mergeCell ref="E281:F281"/>
    <mergeCell ref="D282:F282"/>
    <mergeCell ref="D283:F283"/>
    <mergeCell ref="A9:A10"/>
    <mergeCell ref="B9:B10"/>
    <mergeCell ref="C9:C10"/>
    <mergeCell ref="D9:D10"/>
    <mergeCell ref="E9:E10"/>
    <mergeCell ref="F9:F10"/>
    <mergeCell ref="B284:F284"/>
  </mergeCells>
  <pageMargins left="0.59055118110236227" right="0.19685039370078741" top="0.39370078740157483" bottom="0.39370078740157483" header="0.31496062992125984" footer="0.31496062992125984"/>
  <pageSetup paperSize="9" scale="61" orientation="portrait" r:id="rId1"/>
  <rowBreaks count="1" manualBreakCount="1">
    <brk id="217"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84"/>
  <sheetViews>
    <sheetView topLeftCell="A23" zoomScaleNormal="100" workbookViewId="0">
      <selection activeCell="B3" sqref="B3:I3"/>
    </sheetView>
  </sheetViews>
  <sheetFormatPr defaultColWidth="9.140625" defaultRowHeight="15.75" x14ac:dyDescent="0.25"/>
  <cols>
    <col min="1" max="1" width="58.28515625" style="8" customWidth="1"/>
    <col min="2" max="2" width="17" style="8" customWidth="1"/>
    <col min="3" max="3" width="10.140625" style="8" customWidth="1"/>
    <col min="4" max="4" width="21" style="68" customWidth="1"/>
    <col min="5" max="5" width="20.7109375" style="68" customWidth="1"/>
    <col min="6" max="6" width="21.28515625" style="68" customWidth="1"/>
    <col min="7" max="12" width="9.140625" style="8" hidden="1" customWidth="1"/>
    <col min="13" max="254" width="9.140625" style="8"/>
    <col min="255" max="255" width="58.28515625" style="8" customWidth="1"/>
    <col min="256" max="256" width="19.140625" style="8" customWidth="1"/>
    <col min="257" max="257" width="10.140625" style="8" customWidth="1"/>
    <col min="258" max="258" width="14.85546875" style="8" customWidth="1"/>
    <col min="259" max="260" width="0" style="8" hidden="1" customWidth="1"/>
    <col min="261" max="510" width="9.140625" style="8"/>
    <col min="511" max="511" width="58.28515625" style="8" customWidth="1"/>
    <col min="512" max="512" width="19.140625" style="8" customWidth="1"/>
    <col min="513" max="513" width="10.140625" style="8" customWidth="1"/>
    <col min="514" max="514" width="14.85546875" style="8" customWidth="1"/>
    <col min="515" max="516" width="0" style="8" hidden="1" customWidth="1"/>
    <col min="517" max="766" width="9.140625" style="8"/>
    <col min="767" max="767" width="58.28515625" style="8" customWidth="1"/>
    <col min="768" max="768" width="19.140625" style="8" customWidth="1"/>
    <col min="769" max="769" width="10.140625" style="8" customWidth="1"/>
    <col min="770" max="770" width="14.85546875" style="8" customWidth="1"/>
    <col min="771" max="772" width="0" style="8" hidden="1" customWidth="1"/>
    <col min="773" max="1022" width="9.140625" style="8"/>
    <col min="1023" max="1023" width="58.28515625" style="8" customWidth="1"/>
    <col min="1024" max="1024" width="19.140625" style="8" customWidth="1"/>
    <col min="1025" max="1025" width="10.140625" style="8" customWidth="1"/>
    <col min="1026" max="1026" width="14.85546875" style="8" customWidth="1"/>
    <col min="1027" max="1028" width="0" style="8" hidden="1" customWidth="1"/>
    <col min="1029" max="1278" width="9.140625" style="8"/>
    <col min="1279" max="1279" width="58.28515625" style="8" customWidth="1"/>
    <col min="1280" max="1280" width="19.140625" style="8" customWidth="1"/>
    <col min="1281" max="1281" width="10.140625" style="8" customWidth="1"/>
    <col min="1282" max="1282" width="14.85546875" style="8" customWidth="1"/>
    <col min="1283" max="1284" width="0" style="8" hidden="1" customWidth="1"/>
    <col min="1285" max="1534" width="9.140625" style="8"/>
    <col min="1535" max="1535" width="58.28515625" style="8" customWidth="1"/>
    <col min="1536" max="1536" width="19.140625" style="8" customWidth="1"/>
    <col min="1537" max="1537" width="10.140625" style="8" customWidth="1"/>
    <col min="1538" max="1538" width="14.85546875" style="8" customWidth="1"/>
    <col min="1539" max="1540" width="0" style="8" hidden="1" customWidth="1"/>
    <col min="1541" max="1790" width="9.140625" style="8"/>
    <col min="1791" max="1791" width="58.28515625" style="8" customWidth="1"/>
    <col min="1792" max="1792" width="19.140625" style="8" customWidth="1"/>
    <col min="1793" max="1793" width="10.140625" style="8" customWidth="1"/>
    <col min="1794" max="1794" width="14.85546875" style="8" customWidth="1"/>
    <col min="1795" max="1796" width="0" style="8" hidden="1" customWidth="1"/>
    <col min="1797" max="2046" width="9.140625" style="8"/>
    <col min="2047" max="2047" width="58.28515625" style="8" customWidth="1"/>
    <col min="2048" max="2048" width="19.140625" style="8" customWidth="1"/>
    <col min="2049" max="2049" width="10.140625" style="8" customWidth="1"/>
    <col min="2050" max="2050" width="14.85546875" style="8" customWidth="1"/>
    <col min="2051" max="2052" width="0" style="8" hidden="1" customWidth="1"/>
    <col min="2053" max="2302" width="9.140625" style="8"/>
    <col min="2303" max="2303" width="58.28515625" style="8" customWidth="1"/>
    <col min="2304" max="2304" width="19.140625" style="8" customWidth="1"/>
    <col min="2305" max="2305" width="10.140625" style="8" customWidth="1"/>
    <col min="2306" max="2306" width="14.85546875" style="8" customWidth="1"/>
    <col min="2307" max="2308" width="0" style="8" hidden="1" customWidth="1"/>
    <col min="2309" max="2558" width="9.140625" style="8"/>
    <col min="2559" max="2559" width="58.28515625" style="8" customWidth="1"/>
    <col min="2560" max="2560" width="19.140625" style="8" customWidth="1"/>
    <col min="2561" max="2561" width="10.140625" style="8" customWidth="1"/>
    <col min="2562" max="2562" width="14.85546875" style="8" customWidth="1"/>
    <col min="2563" max="2564" width="0" style="8" hidden="1" customWidth="1"/>
    <col min="2565" max="2814" width="9.140625" style="8"/>
    <col min="2815" max="2815" width="58.28515625" style="8" customWidth="1"/>
    <col min="2816" max="2816" width="19.140625" style="8" customWidth="1"/>
    <col min="2817" max="2817" width="10.140625" style="8" customWidth="1"/>
    <col min="2818" max="2818" width="14.85546875" style="8" customWidth="1"/>
    <col min="2819" max="2820" width="0" style="8" hidden="1" customWidth="1"/>
    <col min="2821" max="3070" width="9.140625" style="8"/>
    <col min="3071" max="3071" width="58.28515625" style="8" customWidth="1"/>
    <col min="3072" max="3072" width="19.140625" style="8" customWidth="1"/>
    <col min="3073" max="3073" width="10.140625" style="8" customWidth="1"/>
    <col min="3074" max="3074" width="14.85546875" style="8" customWidth="1"/>
    <col min="3075" max="3076" width="0" style="8" hidden="1" customWidth="1"/>
    <col min="3077" max="3326" width="9.140625" style="8"/>
    <col min="3327" max="3327" width="58.28515625" style="8" customWidth="1"/>
    <col min="3328" max="3328" width="19.140625" style="8" customWidth="1"/>
    <col min="3329" max="3329" width="10.140625" style="8" customWidth="1"/>
    <col min="3330" max="3330" width="14.85546875" style="8" customWidth="1"/>
    <col min="3331" max="3332" width="0" style="8" hidden="1" customWidth="1"/>
    <col min="3333" max="3582" width="9.140625" style="8"/>
    <col min="3583" max="3583" width="58.28515625" style="8" customWidth="1"/>
    <col min="3584" max="3584" width="19.140625" style="8" customWidth="1"/>
    <col min="3585" max="3585" width="10.140625" style="8" customWidth="1"/>
    <col min="3586" max="3586" width="14.85546875" style="8" customWidth="1"/>
    <col min="3587" max="3588" width="0" style="8" hidden="1" customWidth="1"/>
    <col min="3589" max="3838" width="9.140625" style="8"/>
    <col min="3839" max="3839" width="58.28515625" style="8" customWidth="1"/>
    <col min="3840" max="3840" width="19.140625" style="8" customWidth="1"/>
    <col min="3841" max="3841" width="10.140625" style="8" customWidth="1"/>
    <col min="3842" max="3842" width="14.85546875" style="8" customWidth="1"/>
    <col min="3843" max="3844" width="0" style="8" hidden="1" customWidth="1"/>
    <col min="3845" max="4094" width="9.140625" style="8"/>
    <col min="4095" max="4095" width="58.28515625" style="8" customWidth="1"/>
    <col min="4096" max="4096" width="19.140625" style="8" customWidth="1"/>
    <col min="4097" max="4097" width="10.140625" style="8" customWidth="1"/>
    <col min="4098" max="4098" width="14.85546875" style="8" customWidth="1"/>
    <col min="4099" max="4100" width="0" style="8" hidden="1" customWidth="1"/>
    <col min="4101" max="4350" width="9.140625" style="8"/>
    <col min="4351" max="4351" width="58.28515625" style="8" customWidth="1"/>
    <col min="4352" max="4352" width="19.140625" style="8" customWidth="1"/>
    <col min="4353" max="4353" width="10.140625" style="8" customWidth="1"/>
    <col min="4354" max="4354" width="14.85546875" style="8" customWidth="1"/>
    <col min="4355" max="4356" width="0" style="8" hidden="1" customWidth="1"/>
    <col min="4357" max="4606" width="9.140625" style="8"/>
    <col min="4607" max="4607" width="58.28515625" style="8" customWidth="1"/>
    <col min="4608" max="4608" width="19.140625" style="8" customWidth="1"/>
    <col min="4609" max="4609" width="10.140625" style="8" customWidth="1"/>
    <col min="4610" max="4610" width="14.85546875" style="8" customWidth="1"/>
    <col min="4611" max="4612" width="0" style="8" hidden="1" customWidth="1"/>
    <col min="4613" max="4862" width="9.140625" style="8"/>
    <col min="4863" max="4863" width="58.28515625" style="8" customWidth="1"/>
    <col min="4864" max="4864" width="19.140625" style="8" customWidth="1"/>
    <col min="4865" max="4865" width="10.140625" style="8" customWidth="1"/>
    <col min="4866" max="4866" width="14.85546875" style="8" customWidth="1"/>
    <col min="4867" max="4868" width="0" style="8" hidden="1" customWidth="1"/>
    <col min="4869" max="5118" width="9.140625" style="8"/>
    <col min="5119" max="5119" width="58.28515625" style="8" customWidth="1"/>
    <col min="5120" max="5120" width="19.140625" style="8" customWidth="1"/>
    <col min="5121" max="5121" width="10.140625" style="8" customWidth="1"/>
    <col min="5122" max="5122" width="14.85546875" style="8" customWidth="1"/>
    <col min="5123" max="5124" width="0" style="8" hidden="1" customWidth="1"/>
    <col min="5125" max="5374" width="9.140625" style="8"/>
    <col min="5375" max="5375" width="58.28515625" style="8" customWidth="1"/>
    <col min="5376" max="5376" width="19.140625" style="8" customWidth="1"/>
    <col min="5377" max="5377" width="10.140625" style="8" customWidth="1"/>
    <col min="5378" max="5378" width="14.85546875" style="8" customWidth="1"/>
    <col min="5379" max="5380" width="0" style="8" hidden="1" customWidth="1"/>
    <col min="5381" max="5630" width="9.140625" style="8"/>
    <col min="5631" max="5631" width="58.28515625" style="8" customWidth="1"/>
    <col min="5632" max="5632" width="19.140625" style="8" customWidth="1"/>
    <col min="5633" max="5633" width="10.140625" style="8" customWidth="1"/>
    <col min="5634" max="5634" width="14.85546875" style="8" customWidth="1"/>
    <col min="5635" max="5636" width="0" style="8" hidden="1" customWidth="1"/>
    <col min="5637" max="5886" width="9.140625" style="8"/>
    <col min="5887" max="5887" width="58.28515625" style="8" customWidth="1"/>
    <col min="5888" max="5888" width="19.140625" style="8" customWidth="1"/>
    <col min="5889" max="5889" width="10.140625" style="8" customWidth="1"/>
    <col min="5890" max="5890" width="14.85546875" style="8" customWidth="1"/>
    <col min="5891" max="5892" width="0" style="8" hidden="1" customWidth="1"/>
    <col min="5893" max="6142" width="9.140625" style="8"/>
    <col min="6143" max="6143" width="58.28515625" style="8" customWidth="1"/>
    <col min="6144" max="6144" width="19.140625" style="8" customWidth="1"/>
    <col min="6145" max="6145" width="10.140625" style="8" customWidth="1"/>
    <col min="6146" max="6146" width="14.85546875" style="8" customWidth="1"/>
    <col min="6147" max="6148" width="0" style="8" hidden="1" customWidth="1"/>
    <col min="6149" max="6398" width="9.140625" style="8"/>
    <col min="6399" max="6399" width="58.28515625" style="8" customWidth="1"/>
    <col min="6400" max="6400" width="19.140625" style="8" customWidth="1"/>
    <col min="6401" max="6401" width="10.140625" style="8" customWidth="1"/>
    <col min="6402" max="6402" width="14.85546875" style="8" customWidth="1"/>
    <col min="6403" max="6404" width="0" style="8" hidden="1" customWidth="1"/>
    <col min="6405" max="6654" width="9.140625" style="8"/>
    <col min="6655" max="6655" width="58.28515625" style="8" customWidth="1"/>
    <col min="6656" max="6656" width="19.140625" style="8" customWidth="1"/>
    <col min="6657" max="6657" width="10.140625" style="8" customWidth="1"/>
    <col min="6658" max="6658" width="14.85546875" style="8" customWidth="1"/>
    <col min="6659" max="6660" width="0" style="8" hidden="1" customWidth="1"/>
    <col min="6661" max="6910" width="9.140625" style="8"/>
    <col min="6911" max="6911" width="58.28515625" style="8" customWidth="1"/>
    <col min="6912" max="6912" width="19.140625" style="8" customWidth="1"/>
    <col min="6913" max="6913" width="10.140625" style="8" customWidth="1"/>
    <col min="6914" max="6914" width="14.85546875" style="8" customWidth="1"/>
    <col min="6915" max="6916" width="0" style="8" hidden="1" customWidth="1"/>
    <col min="6917" max="7166" width="9.140625" style="8"/>
    <col min="7167" max="7167" width="58.28515625" style="8" customWidth="1"/>
    <col min="7168" max="7168" width="19.140625" style="8" customWidth="1"/>
    <col min="7169" max="7169" width="10.140625" style="8" customWidth="1"/>
    <col min="7170" max="7170" width="14.85546875" style="8" customWidth="1"/>
    <col min="7171" max="7172" width="0" style="8" hidden="1" customWidth="1"/>
    <col min="7173" max="7422" width="9.140625" style="8"/>
    <col min="7423" max="7423" width="58.28515625" style="8" customWidth="1"/>
    <col min="7424" max="7424" width="19.140625" style="8" customWidth="1"/>
    <col min="7425" max="7425" width="10.140625" style="8" customWidth="1"/>
    <col min="7426" max="7426" width="14.85546875" style="8" customWidth="1"/>
    <col min="7427" max="7428" width="0" style="8" hidden="1" customWidth="1"/>
    <col min="7429" max="7678" width="9.140625" style="8"/>
    <col min="7679" max="7679" width="58.28515625" style="8" customWidth="1"/>
    <col min="7680" max="7680" width="19.140625" style="8" customWidth="1"/>
    <col min="7681" max="7681" width="10.140625" style="8" customWidth="1"/>
    <col min="7682" max="7682" width="14.85546875" style="8" customWidth="1"/>
    <col min="7683" max="7684" width="0" style="8" hidden="1" customWidth="1"/>
    <col min="7685" max="7934" width="9.140625" style="8"/>
    <col min="7935" max="7935" width="58.28515625" style="8" customWidth="1"/>
    <col min="7936" max="7936" width="19.140625" style="8" customWidth="1"/>
    <col min="7937" max="7937" width="10.140625" style="8" customWidth="1"/>
    <col min="7938" max="7938" width="14.85546875" style="8" customWidth="1"/>
    <col min="7939" max="7940" width="0" style="8" hidden="1" customWidth="1"/>
    <col min="7941" max="8190" width="9.140625" style="8"/>
    <col min="8191" max="8191" width="58.28515625" style="8" customWidth="1"/>
    <col min="8192" max="8192" width="19.140625" style="8" customWidth="1"/>
    <col min="8193" max="8193" width="10.140625" style="8" customWidth="1"/>
    <col min="8194" max="8194" width="14.85546875" style="8" customWidth="1"/>
    <col min="8195" max="8196" width="0" style="8" hidden="1" customWidth="1"/>
    <col min="8197" max="8446" width="9.140625" style="8"/>
    <col min="8447" max="8447" width="58.28515625" style="8" customWidth="1"/>
    <col min="8448" max="8448" width="19.140625" style="8" customWidth="1"/>
    <col min="8449" max="8449" width="10.140625" style="8" customWidth="1"/>
    <col min="8450" max="8450" width="14.85546875" style="8" customWidth="1"/>
    <col min="8451" max="8452" width="0" style="8" hidden="1" customWidth="1"/>
    <col min="8453" max="8702" width="9.140625" style="8"/>
    <col min="8703" max="8703" width="58.28515625" style="8" customWidth="1"/>
    <col min="8704" max="8704" width="19.140625" style="8" customWidth="1"/>
    <col min="8705" max="8705" width="10.140625" style="8" customWidth="1"/>
    <col min="8706" max="8706" width="14.85546875" style="8" customWidth="1"/>
    <col min="8707" max="8708" width="0" style="8" hidden="1" customWidth="1"/>
    <col min="8709" max="8958" width="9.140625" style="8"/>
    <col min="8959" max="8959" width="58.28515625" style="8" customWidth="1"/>
    <col min="8960" max="8960" width="19.140625" style="8" customWidth="1"/>
    <col min="8961" max="8961" width="10.140625" style="8" customWidth="1"/>
    <col min="8962" max="8962" width="14.85546875" style="8" customWidth="1"/>
    <col min="8963" max="8964" width="0" style="8" hidden="1" customWidth="1"/>
    <col min="8965" max="9214" width="9.140625" style="8"/>
    <col min="9215" max="9215" width="58.28515625" style="8" customWidth="1"/>
    <col min="9216" max="9216" width="19.140625" style="8" customWidth="1"/>
    <col min="9217" max="9217" width="10.140625" style="8" customWidth="1"/>
    <col min="9218" max="9218" width="14.85546875" style="8" customWidth="1"/>
    <col min="9219" max="9220" width="0" style="8" hidden="1" customWidth="1"/>
    <col min="9221" max="9470" width="9.140625" style="8"/>
    <col min="9471" max="9471" width="58.28515625" style="8" customWidth="1"/>
    <col min="9472" max="9472" width="19.140625" style="8" customWidth="1"/>
    <col min="9473" max="9473" width="10.140625" style="8" customWidth="1"/>
    <col min="9474" max="9474" width="14.85546875" style="8" customWidth="1"/>
    <col min="9475" max="9476" width="0" style="8" hidden="1" customWidth="1"/>
    <col min="9477" max="9726" width="9.140625" style="8"/>
    <col min="9727" max="9727" width="58.28515625" style="8" customWidth="1"/>
    <col min="9728" max="9728" width="19.140625" style="8" customWidth="1"/>
    <col min="9729" max="9729" width="10.140625" style="8" customWidth="1"/>
    <col min="9730" max="9730" width="14.85546875" style="8" customWidth="1"/>
    <col min="9731" max="9732" width="0" style="8" hidden="1" customWidth="1"/>
    <col min="9733" max="9982" width="9.140625" style="8"/>
    <col min="9983" max="9983" width="58.28515625" style="8" customWidth="1"/>
    <col min="9984" max="9984" width="19.140625" style="8" customWidth="1"/>
    <col min="9985" max="9985" width="10.140625" style="8" customWidth="1"/>
    <col min="9986" max="9986" width="14.85546875" style="8" customWidth="1"/>
    <col min="9987" max="9988" width="0" style="8" hidden="1" customWidth="1"/>
    <col min="9989" max="10238" width="9.140625" style="8"/>
    <col min="10239" max="10239" width="58.28515625" style="8" customWidth="1"/>
    <col min="10240" max="10240" width="19.140625" style="8" customWidth="1"/>
    <col min="10241" max="10241" width="10.140625" style="8" customWidth="1"/>
    <col min="10242" max="10242" width="14.85546875" style="8" customWidth="1"/>
    <col min="10243" max="10244" width="0" style="8" hidden="1" customWidth="1"/>
    <col min="10245" max="10494" width="9.140625" style="8"/>
    <col min="10495" max="10495" width="58.28515625" style="8" customWidth="1"/>
    <col min="10496" max="10496" width="19.140625" style="8" customWidth="1"/>
    <col min="10497" max="10497" width="10.140625" style="8" customWidth="1"/>
    <col min="10498" max="10498" width="14.85546875" style="8" customWidth="1"/>
    <col min="10499" max="10500" width="0" style="8" hidden="1" customWidth="1"/>
    <col min="10501" max="10750" width="9.140625" style="8"/>
    <col min="10751" max="10751" width="58.28515625" style="8" customWidth="1"/>
    <col min="10752" max="10752" width="19.140625" style="8" customWidth="1"/>
    <col min="10753" max="10753" width="10.140625" style="8" customWidth="1"/>
    <col min="10754" max="10754" width="14.85546875" style="8" customWidth="1"/>
    <col min="10755" max="10756" width="0" style="8" hidden="1" customWidth="1"/>
    <col min="10757" max="11006" width="9.140625" style="8"/>
    <col min="11007" max="11007" width="58.28515625" style="8" customWidth="1"/>
    <col min="11008" max="11008" width="19.140625" style="8" customWidth="1"/>
    <col min="11009" max="11009" width="10.140625" style="8" customWidth="1"/>
    <col min="11010" max="11010" width="14.85546875" style="8" customWidth="1"/>
    <col min="11011" max="11012" width="0" style="8" hidden="1" customWidth="1"/>
    <col min="11013" max="11262" width="9.140625" style="8"/>
    <col min="11263" max="11263" width="58.28515625" style="8" customWidth="1"/>
    <col min="11264" max="11264" width="19.140625" style="8" customWidth="1"/>
    <col min="11265" max="11265" width="10.140625" style="8" customWidth="1"/>
    <col min="11266" max="11266" width="14.85546875" style="8" customWidth="1"/>
    <col min="11267" max="11268" width="0" style="8" hidden="1" customWidth="1"/>
    <col min="11269" max="11518" width="9.140625" style="8"/>
    <col min="11519" max="11519" width="58.28515625" style="8" customWidth="1"/>
    <col min="11520" max="11520" width="19.140625" style="8" customWidth="1"/>
    <col min="11521" max="11521" width="10.140625" style="8" customWidth="1"/>
    <col min="11522" max="11522" width="14.85546875" style="8" customWidth="1"/>
    <col min="11523" max="11524" width="0" style="8" hidden="1" customWidth="1"/>
    <col min="11525" max="11774" width="9.140625" style="8"/>
    <col min="11775" max="11775" width="58.28515625" style="8" customWidth="1"/>
    <col min="11776" max="11776" width="19.140625" style="8" customWidth="1"/>
    <col min="11777" max="11777" width="10.140625" style="8" customWidth="1"/>
    <col min="11778" max="11778" width="14.85546875" style="8" customWidth="1"/>
    <col min="11779" max="11780" width="0" style="8" hidden="1" customWidth="1"/>
    <col min="11781" max="12030" width="9.140625" style="8"/>
    <col min="12031" max="12031" width="58.28515625" style="8" customWidth="1"/>
    <col min="12032" max="12032" width="19.140625" style="8" customWidth="1"/>
    <col min="12033" max="12033" width="10.140625" style="8" customWidth="1"/>
    <col min="12034" max="12034" width="14.85546875" style="8" customWidth="1"/>
    <col min="12035" max="12036" width="0" style="8" hidden="1" customWidth="1"/>
    <col min="12037" max="12286" width="9.140625" style="8"/>
    <col min="12287" max="12287" width="58.28515625" style="8" customWidth="1"/>
    <col min="12288" max="12288" width="19.140625" style="8" customWidth="1"/>
    <col min="12289" max="12289" width="10.140625" style="8" customWidth="1"/>
    <col min="12290" max="12290" width="14.85546875" style="8" customWidth="1"/>
    <col min="12291" max="12292" width="0" style="8" hidden="1" customWidth="1"/>
    <col min="12293" max="12542" width="9.140625" style="8"/>
    <col min="12543" max="12543" width="58.28515625" style="8" customWidth="1"/>
    <col min="12544" max="12544" width="19.140625" style="8" customWidth="1"/>
    <col min="12545" max="12545" width="10.140625" style="8" customWidth="1"/>
    <col min="12546" max="12546" width="14.85546875" style="8" customWidth="1"/>
    <col min="12547" max="12548" width="0" style="8" hidden="1" customWidth="1"/>
    <col min="12549" max="12798" width="9.140625" style="8"/>
    <col min="12799" max="12799" width="58.28515625" style="8" customWidth="1"/>
    <col min="12800" max="12800" width="19.140625" style="8" customWidth="1"/>
    <col min="12801" max="12801" width="10.140625" style="8" customWidth="1"/>
    <col min="12802" max="12802" width="14.85546875" style="8" customWidth="1"/>
    <col min="12803" max="12804" width="0" style="8" hidden="1" customWidth="1"/>
    <col min="12805" max="13054" width="9.140625" style="8"/>
    <col min="13055" max="13055" width="58.28515625" style="8" customWidth="1"/>
    <col min="13056" max="13056" width="19.140625" style="8" customWidth="1"/>
    <col min="13057" max="13057" width="10.140625" style="8" customWidth="1"/>
    <col min="13058" max="13058" width="14.85546875" style="8" customWidth="1"/>
    <col min="13059" max="13060" width="0" style="8" hidden="1" customWidth="1"/>
    <col min="13061" max="13310" width="9.140625" style="8"/>
    <col min="13311" max="13311" width="58.28515625" style="8" customWidth="1"/>
    <col min="13312" max="13312" width="19.140625" style="8" customWidth="1"/>
    <col min="13313" max="13313" width="10.140625" style="8" customWidth="1"/>
    <col min="13314" max="13314" width="14.85546875" style="8" customWidth="1"/>
    <col min="13315" max="13316" width="0" style="8" hidden="1" customWidth="1"/>
    <col min="13317" max="13566" width="9.140625" style="8"/>
    <col min="13567" max="13567" width="58.28515625" style="8" customWidth="1"/>
    <col min="13568" max="13568" width="19.140625" style="8" customWidth="1"/>
    <col min="13569" max="13569" width="10.140625" style="8" customWidth="1"/>
    <col min="13570" max="13570" width="14.85546875" style="8" customWidth="1"/>
    <col min="13571" max="13572" width="0" style="8" hidden="1" customWidth="1"/>
    <col min="13573" max="13822" width="9.140625" style="8"/>
    <col min="13823" max="13823" width="58.28515625" style="8" customWidth="1"/>
    <col min="13824" max="13824" width="19.140625" style="8" customWidth="1"/>
    <col min="13825" max="13825" width="10.140625" style="8" customWidth="1"/>
    <col min="13826" max="13826" width="14.85546875" style="8" customWidth="1"/>
    <col min="13827" max="13828" width="0" style="8" hidden="1" customWidth="1"/>
    <col min="13829" max="14078" width="9.140625" style="8"/>
    <col min="14079" max="14079" width="58.28515625" style="8" customWidth="1"/>
    <col min="14080" max="14080" width="19.140625" style="8" customWidth="1"/>
    <col min="14081" max="14081" width="10.140625" style="8" customWidth="1"/>
    <col min="14082" max="14082" width="14.85546875" style="8" customWidth="1"/>
    <col min="14083" max="14084" width="0" style="8" hidden="1" customWidth="1"/>
    <col min="14085" max="14334" width="9.140625" style="8"/>
    <col min="14335" max="14335" width="58.28515625" style="8" customWidth="1"/>
    <col min="14336" max="14336" width="19.140625" style="8" customWidth="1"/>
    <col min="14337" max="14337" width="10.140625" style="8" customWidth="1"/>
    <col min="14338" max="14338" width="14.85546875" style="8" customWidth="1"/>
    <col min="14339" max="14340" width="0" style="8" hidden="1" customWidth="1"/>
    <col min="14341" max="14590" width="9.140625" style="8"/>
    <col min="14591" max="14591" width="58.28515625" style="8" customWidth="1"/>
    <col min="14592" max="14592" width="19.140625" style="8" customWidth="1"/>
    <col min="14593" max="14593" width="10.140625" style="8" customWidth="1"/>
    <col min="14594" max="14594" width="14.85546875" style="8" customWidth="1"/>
    <col min="14595" max="14596" width="0" style="8" hidden="1" customWidth="1"/>
    <col min="14597" max="14846" width="9.140625" style="8"/>
    <col min="14847" max="14847" width="58.28515625" style="8" customWidth="1"/>
    <col min="14848" max="14848" width="19.140625" style="8" customWidth="1"/>
    <col min="14849" max="14849" width="10.140625" style="8" customWidth="1"/>
    <col min="14850" max="14850" width="14.85546875" style="8" customWidth="1"/>
    <col min="14851" max="14852" width="0" style="8" hidden="1" customWidth="1"/>
    <col min="14853" max="15102" width="9.140625" style="8"/>
    <col min="15103" max="15103" width="58.28515625" style="8" customWidth="1"/>
    <col min="15104" max="15104" width="19.140625" style="8" customWidth="1"/>
    <col min="15105" max="15105" width="10.140625" style="8" customWidth="1"/>
    <col min="15106" max="15106" width="14.85546875" style="8" customWidth="1"/>
    <col min="15107" max="15108" width="0" style="8" hidden="1" customWidth="1"/>
    <col min="15109" max="15358" width="9.140625" style="8"/>
    <col min="15359" max="15359" width="58.28515625" style="8" customWidth="1"/>
    <col min="15360" max="15360" width="19.140625" style="8" customWidth="1"/>
    <col min="15361" max="15361" width="10.140625" style="8" customWidth="1"/>
    <col min="15362" max="15362" width="14.85546875" style="8" customWidth="1"/>
    <col min="15363" max="15364" width="0" style="8" hidden="1" customWidth="1"/>
    <col min="15365" max="15614" width="9.140625" style="8"/>
    <col min="15615" max="15615" width="58.28515625" style="8" customWidth="1"/>
    <col min="15616" max="15616" width="19.140625" style="8" customWidth="1"/>
    <col min="15617" max="15617" width="10.140625" style="8" customWidth="1"/>
    <col min="15618" max="15618" width="14.85546875" style="8" customWidth="1"/>
    <col min="15619" max="15620" width="0" style="8" hidden="1" customWidth="1"/>
    <col min="15621" max="15870" width="9.140625" style="8"/>
    <col min="15871" max="15871" width="58.28515625" style="8" customWidth="1"/>
    <col min="15872" max="15872" width="19.140625" style="8" customWidth="1"/>
    <col min="15873" max="15873" width="10.140625" style="8" customWidth="1"/>
    <col min="15874" max="15874" width="14.85546875" style="8" customWidth="1"/>
    <col min="15875" max="15876" width="0" style="8" hidden="1" customWidth="1"/>
    <col min="15877" max="16126" width="9.140625" style="8"/>
    <col min="16127" max="16127" width="58.28515625" style="8" customWidth="1"/>
    <col min="16128" max="16128" width="19.140625" style="8" customWidth="1"/>
    <col min="16129" max="16129" width="10.140625" style="8" customWidth="1"/>
    <col min="16130" max="16130" width="14.85546875" style="8" customWidth="1"/>
    <col min="16131" max="16132" width="0" style="8" hidden="1" customWidth="1"/>
    <col min="16133" max="16384" width="9.140625" style="8"/>
  </cols>
  <sheetData>
    <row r="2" spans="1:9" s="284" customFormat="1" ht="14.65" customHeight="1" x14ac:dyDescent="0.2">
      <c r="B2" s="403" t="s">
        <v>306</v>
      </c>
      <c r="C2" s="403"/>
      <c r="D2" s="403"/>
      <c r="E2" s="403"/>
      <c r="F2" s="403"/>
      <c r="G2" s="403"/>
      <c r="H2" s="403"/>
      <c r="I2" s="403"/>
    </row>
    <row r="3" spans="1:9" s="284" customFormat="1" ht="19.899999999999999" customHeight="1" x14ac:dyDescent="0.2">
      <c r="B3" s="403" t="s">
        <v>55</v>
      </c>
      <c r="C3" s="403"/>
      <c r="D3" s="403"/>
      <c r="E3" s="403"/>
      <c r="F3" s="403"/>
      <c r="G3" s="403"/>
      <c r="H3" s="403"/>
      <c r="I3" s="403"/>
    </row>
    <row r="4" spans="1:9" s="284" customFormat="1" ht="50.45" customHeight="1" x14ac:dyDescent="0.2">
      <c r="B4" s="403" t="s">
        <v>261</v>
      </c>
      <c r="C4" s="403"/>
      <c r="D4" s="403"/>
      <c r="E4" s="403"/>
      <c r="F4" s="403"/>
      <c r="G4" s="403"/>
      <c r="H4" s="403"/>
      <c r="I4" s="403"/>
    </row>
    <row r="5" spans="1:9" s="284" customFormat="1" ht="21.6" customHeight="1" x14ac:dyDescent="0.2">
      <c r="B5" s="403" t="s">
        <v>303</v>
      </c>
      <c r="C5" s="403"/>
      <c r="D5" s="403"/>
      <c r="E5" s="403"/>
      <c r="F5" s="403"/>
      <c r="G5" s="403"/>
      <c r="H5" s="403"/>
      <c r="I5" s="403"/>
    </row>
    <row r="7" spans="1:9" s="68" customFormat="1" x14ac:dyDescent="0.25">
      <c r="A7" s="245"/>
      <c r="B7" s="245"/>
      <c r="C7" s="245"/>
      <c r="D7" s="245"/>
    </row>
    <row r="8" spans="1:9" s="68" customFormat="1" x14ac:dyDescent="0.25">
      <c r="A8" s="245"/>
      <c r="B8" s="245"/>
      <c r="C8" s="245"/>
      <c r="D8" s="245"/>
      <c r="E8" s="405" t="s">
        <v>187</v>
      </c>
      <c r="F8" s="405"/>
    </row>
    <row r="9" spans="1:9" s="68" customFormat="1" x14ac:dyDescent="0.25">
      <c r="A9" s="245"/>
      <c r="B9" s="245"/>
      <c r="C9" s="245"/>
      <c r="D9" s="245"/>
      <c r="E9" s="432" t="s">
        <v>55</v>
      </c>
      <c r="F9" s="432"/>
    </row>
    <row r="10" spans="1:9" s="68" customFormat="1" ht="52.15" customHeight="1" x14ac:dyDescent="0.25">
      <c r="A10" s="245"/>
      <c r="B10" s="245"/>
      <c r="C10" s="245"/>
      <c r="D10" s="245"/>
      <c r="E10" s="433" t="s">
        <v>251</v>
      </c>
      <c r="F10" s="433"/>
    </row>
    <row r="11" spans="1:9" s="68" customFormat="1" x14ac:dyDescent="0.25">
      <c r="A11" s="245"/>
      <c r="B11" s="245"/>
      <c r="C11" s="245"/>
      <c r="D11" s="245"/>
      <c r="E11" s="434" t="s">
        <v>260</v>
      </c>
      <c r="F11" s="434"/>
    </row>
    <row r="12" spans="1:9" s="68" customFormat="1" x14ac:dyDescent="0.25">
      <c r="A12" s="245"/>
      <c r="B12" s="245"/>
      <c r="C12" s="245"/>
      <c r="D12" s="245"/>
    </row>
    <row r="13" spans="1:9" s="69" customFormat="1" x14ac:dyDescent="0.25">
      <c r="D13" s="70"/>
      <c r="E13" s="70"/>
      <c r="F13" s="70"/>
    </row>
    <row r="14" spans="1:9" s="69" customFormat="1" ht="42" customHeight="1" x14ac:dyDescent="0.25">
      <c r="A14" s="425" t="s">
        <v>254</v>
      </c>
      <c r="B14" s="425"/>
      <c r="C14" s="425"/>
      <c r="D14" s="425"/>
      <c r="E14" s="425"/>
      <c r="F14" s="425"/>
    </row>
    <row r="15" spans="1:9" s="69" customFormat="1" ht="12" customHeight="1" x14ac:dyDescent="0.25">
      <c r="A15" s="71"/>
      <c r="D15" s="70"/>
      <c r="E15" s="70"/>
      <c r="F15" s="70"/>
    </row>
    <row r="16" spans="1:9" hidden="1" x14ac:dyDescent="0.25"/>
    <row r="17" spans="1:6" ht="12.75" customHeight="1" x14ac:dyDescent="0.25">
      <c r="A17" s="429" t="s">
        <v>0</v>
      </c>
      <c r="B17" s="435" t="s">
        <v>2</v>
      </c>
      <c r="C17" s="435" t="s">
        <v>60</v>
      </c>
      <c r="D17" s="426" t="s">
        <v>212</v>
      </c>
      <c r="E17" s="427"/>
      <c r="F17" s="428"/>
    </row>
    <row r="18" spans="1:6" ht="28.5" customHeight="1" x14ac:dyDescent="0.25">
      <c r="A18" s="430"/>
      <c r="B18" s="436"/>
      <c r="C18" s="436"/>
      <c r="D18" s="415" t="s">
        <v>48</v>
      </c>
      <c r="E18" s="415" t="s">
        <v>213</v>
      </c>
      <c r="F18" s="415" t="s">
        <v>253</v>
      </c>
    </row>
    <row r="19" spans="1:6" ht="75.75" customHeight="1" x14ac:dyDescent="0.25">
      <c r="A19" s="431"/>
      <c r="B19" s="437"/>
      <c r="C19" s="437"/>
      <c r="D19" s="416"/>
      <c r="E19" s="416"/>
      <c r="F19" s="416"/>
    </row>
    <row r="20" spans="1:6" ht="12.75" x14ac:dyDescent="0.25">
      <c r="A20" s="9">
        <v>1</v>
      </c>
      <c r="B20" s="10">
        <v>2</v>
      </c>
      <c r="C20" s="9">
        <v>3</v>
      </c>
      <c r="D20" s="9">
        <v>4</v>
      </c>
      <c r="E20" s="9">
        <v>5</v>
      </c>
      <c r="F20" s="9">
        <v>6</v>
      </c>
    </row>
    <row r="21" spans="1:6" ht="49.5" x14ac:dyDescent="0.25">
      <c r="A21" s="11" t="s">
        <v>61</v>
      </c>
      <c r="B21" s="12"/>
      <c r="C21" s="13"/>
      <c r="D21" s="211">
        <f>D22+D29+D47+D72+D76+D95+D99</f>
        <v>6961212.9100000001</v>
      </c>
      <c r="E21" s="211">
        <f>E22+E29+E47+E72+E76+E95+E99</f>
        <v>2753078.89</v>
      </c>
      <c r="F21" s="211">
        <f t="shared" ref="F21" si="0">F22+F29+F47+F72+F76+F95+F99</f>
        <v>2142639.5</v>
      </c>
    </row>
    <row r="22" spans="1:6" ht="66" x14ac:dyDescent="0.25">
      <c r="A22" s="14" t="s">
        <v>259</v>
      </c>
      <c r="B22" s="15" t="s">
        <v>62</v>
      </c>
      <c r="C22" s="16"/>
      <c r="D22" s="212">
        <f>D23+D26</f>
        <v>93200</v>
      </c>
      <c r="E22" s="212">
        <f>E23+E26</f>
        <v>50000</v>
      </c>
      <c r="F22" s="212">
        <f>F23+F26</f>
        <v>40000</v>
      </c>
    </row>
    <row r="23" spans="1:6" ht="30" customHeight="1" x14ac:dyDescent="0.25">
      <c r="A23" s="17" t="s">
        <v>63</v>
      </c>
      <c r="B23" s="18" t="s">
        <v>64</v>
      </c>
      <c r="C23" s="18"/>
      <c r="D23" s="213">
        <f t="shared" ref="D23:F24" si="1">D24</f>
        <v>73200</v>
      </c>
      <c r="E23" s="213">
        <f t="shared" si="1"/>
        <v>30000</v>
      </c>
      <c r="F23" s="213">
        <f t="shared" si="1"/>
        <v>20000</v>
      </c>
    </row>
    <row r="24" spans="1:6" ht="24" x14ac:dyDescent="0.25">
      <c r="A24" s="19" t="s">
        <v>65</v>
      </c>
      <c r="B24" s="20" t="s">
        <v>64</v>
      </c>
      <c r="C24" s="20">
        <v>200</v>
      </c>
      <c r="D24" s="214">
        <f t="shared" si="1"/>
        <v>73200</v>
      </c>
      <c r="E24" s="214">
        <f t="shared" si="1"/>
        <v>30000</v>
      </c>
      <c r="F24" s="214">
        <f t="shared" si="1"/>
        <v>20000</v>
      </c>
    </row>
    <row r="25" spans="1:6" ht="24" x14ac:dyDescent="0.25">
      <c r="A25" s="19" t="s">
        <v>28</v>
      </c>
      <c r="B25" s="20" t="s">
        <v>64</v>
      </c>
      <c r="C25" s="20">
        <v>240</v>
      </c>
      <c r="D25" s="214">
        <f>50000-45200+45200+23000+200</f>
        <v>73200</v>
      </c>
      <c r="E25" s="214">
        <f>30000</f>
        <v>30000</v>
      </c>
      <c r="F25" s="214">
        <f>20000</f>
        <v>20000</v>
      </c>
    </row>
    <row r="26" spans="1:6" ht="21" customHeight="1" x14ac:dyDescent="0.25">
      <c r="A26" s="17" t="s">
        <v>66</v>
      </c>
      <c r="B26" s="18" t="s">
        <v>67</v>
      </c>
      <c r="C26" s="18"/>
      <c r="D26" s="213">
        <f t="shared" ref="D26:F27" si="2">D27</f>
        <v>20000</v>
      </c>
      <c r="E26" s="213">
        <f t="shared" si="2"/>
        <v>20000</v>
      </c>
      <c r="F26" s="213">
        <f t="shared" si="2"/>
        <v>20000</v>
      </c>
    </row>
    <row r="27" spans="1:6" ht="25.5" customHeight="1" x14ac:dyDescent="0.25">
      <c r="A27" s="21" t="s">
        <v>34</v>
      </c>
      <c r="B27" s="20" t="s">
        <v>67</v>
      </c>
      <c r="C27" s="20">
        <v>600</v>
      </c>
      <c r="D27" s="214">
        <f t="shared" si="2"/>
        <v>20000</v>
      </c>
      <c r="E27" s="214">
        <f t="shared" si="2"/>
        <v>20000</v>
      </c>
      <c r="F27" s="214">
        <f t="shared" si="2"/>
        <v>20000</v>
      </c>
    </row>
    <row r="28" spans="1:6" ht="28.5" customHeight="1" x14ac:dyDescent="0.25">
      <c r="A28" s="19" t="s">
        <v>68</v>
      </c>
      <c r="B28" s="20" t="s">
        <v>67</v>
      </c>
      <c r="C28" s="20">
        <v>630</v>
      </c>
      <c r="D28" s="214">
        <f>20000</f>
        <v>20000</v>
      </c>
      <c r="E28" s="214">
        <f>20000</f>
        <v>20000</v>
      </c>
      <c r="F28" s="214">
        <f>20000</f>
        <v>20000</v>
      </c>
    </row>
    <row r="29" spans="1:6" ht="82.5" customHeight="1" x14ac:dyDescent="0.25">
      <c r="A29" s="22" t="s">
        <v>69</v>
      </c>
      <c r="B29" s="23" t="s">
        <v>70</v>
      </c>
      <c r="C29" s="24"/>
      <c r="D29" s="215">
        <f>D38+D30+D41+D35+D44</f>
        <v>1514938.7</v>
      </c>
      <c r="E29" s="215">
        <f t="shared" ref="E29:F29" si="3">E38+E30+E41+E35+E44</f>
        <v>1073139</v>
      </c>
      <c r="F29" s="215">
        <f t="shared" si="3"/>
        <v>1124508.5</v>
      </c>
    </row>
    <row r="30" spans="1:6" ht="22.15" customHeight="1" x14ac:dyDescent="0.25">
      <c r="A30" s="41" t="s">
        <v>188</v>
      </c>
      <c r="B30" s="119" t="s">
        <v>189</v>
      </c>
      <c r="C30" s="24"/>
      <c r="D30" s="216">
        <f>D31+D33</f>
        <v>153210</v>
      </c>
      <c r="E30" s="216">
        <f t="shared" ref="E30:F31" si="4">E31</f>
        <v>0</v>
      </c>
      <c r="F30" s="216">
        <f t="shared" si="4"/>
        <v>0</v>
      </c>
    </row>
    <row r="31" spans="1:6" ht="22.15" customHeight="1" x14ac:dyDescent="0.25">
      <c r="A31" s="19" t="s">
        <v>65</v>
      </c>
      <c r="B31" s="40" t="s">
        <v>189</v>
      </c>
      <c r="C31" s="20">
        <v>200</v>
      </c>
      <c r="D31" s="217">
        <f>D32</f>
        <v>153210</v>
      </c>
      <c r="E31" s="217">
        <f t="shared" si="4"/>
        <v>0</v>
      </c>
      <c r="F31" s="217">
        <f t="shared" si="4"/>
        <v>0</v>
      </c>
    </row>
    <row r="32" spans="1:6" ht="32.450000000000003" customHeight="1" x14ac:dyDescent="0.25">
      <c r="A32" s="19" t="s">
        <v>28</v>
      </c>
      <c r="B32" s="40" t="s">
        <v>189</v>
      </c>
      <c r="C32" s="20">
        <v>240</v>
      </c>
      <c r="D32" s="217">
        <f>153210</f>
        <v>153210</v>
      </c>
      <c r="E32" s="217">
        <v>0</v>
      </c>
      <c r="F32" s="217">
        <v>0</v>
      </c>
    </row>
    <row r="33" spans="1:6" ht="21" hidden="1" customHeight="1" x14ac:dyDescent="0.25">
      <c r="A33" s="33" t="s">
        <v>14</v>
      </c>
      <c r="B33" s="40" t="s">
        <v>189</v>
      </c>
      <c r="C33" s="4">
        <v>800</v>
      </c>
      <c r="D33" s="217">
        <f>D34</f>
        <v>0</v>
      </c>
      <c r="E33" s="217">
        <f t="shared" ref="E33:F33" si="5">E34</f>
        <v>0</v>
      </c>
      <c r="F33" s="217">
        <f t="shared" si="5"/>
        <v>0</v>
      </c>
    </row>
    <row r="34" spans="1:6" ht="22.9" hidden="1" customHeight="1" x14ac:dyDescent="0.25">
      <c r="A34" s="19" t="s">
        <v>190</v>
      </c>
      <c r="B34" s="40" t="s">
        <v>189</v>
      </c>
      <c r="C34" s="4">
        <v>830</v>
      </c>
      <c r="D34" s="217">
        <v>0</v>
      </c>
      <c r="E34" s="217">
        <v>0</v>
      </c>
      <c r="F34" s="217">
        <v>0</v>
      </c>
    </row>
    <row r="35" spans="1:6" s="275" customFormat="1" ht="51" hidden="1" customHeight="1" x14ac:dyDescent="0.25">
      <c r="A35" s="17" t="s">
        <v>237</v>
      </c>
      <c r="B35" s="271" t="s">
        <v>236</v>
      </c>
      <c r="C35" s="248"/>
      <c r="D35" s="252">
        <f>D36</f>
        <v>0</v>
      </c>
      <c r="E35" s="249">
        <f t="shared" ref="E35:F36" si="6">E36</f>
        <v>0</v>
      </c>
      <c r="F35" s="249">
        <f t="shared" si="6"/>
        <v>0</v>
      </c>
    </row>
    <row r="36" spans="1:6" s="275" customFormat="1" ht="22.9" hidden="1" customHeight="1" x14ac:dyDescent="0.25">
      <c r="A36" s="19" t="s">
        <v>65</v>
      </c>
      <c r="B36" s="40" t="s">
        <v>236</v>
      </c>
      <c r="C36" s="4">
        <v>200</v>
      </c>
      <c r="D36" s="251">
        <f>D37</f>
        <v>0</v>
      </c>
      <c r="E36" s="251">
        <f t="shared" si="6"/>
        <v>0</v>
      </c>
      <c r="F36" s="251">
        <f t="shared" si="6"/>
        <v>0</v>
      </c>
    </row>
    <row r="37" spans="1:6" s="275" customFormat="1" ht="22.9" hidden="1" customHeight="1" x14ac:dyDescent="0.25">
      <c r="A37" s="19" t="s">
        <v>28</v>
      </c>
      <c r="B37" s="40" t="s">
        <v>236</v>
      </c>
      <c r="C37" s="4">
        <v>240</v>
      </c>
      <c r="D37" s="251">
        <v>0</v>
      </c>
      <c r="E37" s="251">
        <f>0</f>
        <v>0</v>
      </c>
      <c r="F37" s="251">
        <f>0</f>
        <v>0</v>
      </c>
    </row>
    <row r="38" spans="1:6" ht="75.75" customHeight="1" x14ac:dyDescent="0.25">
      <c r="A38" s="17" t="s">
        <v>71</v>
      </c>
      <c r="B38" s="25" t="s">
        <v>72</v>
      </c>
      <c r="C38" s="26"/>
      <c r="D38" s="218">
        <f t="shared" ref="D38:F45" si="7">D39</f>
        <v>997728.7</v>
      </c>
      <c r="E38" s="218">
        <f t="shared" si="7"/>
        <v>1073139</v>
      </c>
      <c r="F38" s="218">
        <f t="shared" si="7"/>
        <v>1124508.5</v>
      </c>
    </row>
    <row r="39" spans="1:6" ht="24" x14ac:dyDescent="0.25">
      <c r="A39" s="19" t="s">
        <v>65</v>
      </c>
      <c r="B39" s="27" t="s">
        <v>72</v>
      </c>
      <c r="C39" s="28">
        <v>200</v>
      </c>
      <c r="D39" s="219">
        <f t="shared" si="7"/>
        <v>997728.7</v>
      </c>
      <c r="E39" s="219">
        <f t="shared" si="7"/>
        <v>1073139</v>
      </c>
      <c r="F39" s="219">
        <f t="shared" si="7"/>
        <v>1124508.5</v>
      </c>
    </row>
    <row r="40" spans="1:6" ht="24" x14ac:dyDescent="0.25">
      <c r="A40" s="19" t="s">
        <v>28</v>
      </c>
      <c r="B40" s="29" t="s">
        <v>72</v>
      </c>
      <c r="C40" s="30">
        <v>240</v>
      </c>
      <c r="D40" s="220">
        <f>997728.7</f>
        <v>997728.7</v>
      </c>
      <c r="E40" s="220">
        <f>1073139</f>
        <v>1073139</v>
      </c>
      <c r="F40" s="220">
        <f>1124508.5</f>
        <v>1124508.5</v>
      </c>
    </row>
    <row r="41" spans="1:6" ht="24" hidden="1" x14ac:dyDescent="0.25">
      <c r="A41" s="17" t="s">
        <v>202</v>
      </c>
      <c r="B41" s="25" t="s">
        <v>201</v>
      </c>
      <c r="C41" s="26"/>
      <c r="D41" s="218">
        <f t="shared" si="7"/>
        <v>0</v>
      </c>
      <c r="E41" s="218">
        <f t="shared" si="7"/>
        <v>0</v>
      </c>
      <c r="F41" s="218">
        <f t="shared" si="7"/>
        <v>0</v>
      </c>
    </row>
    <row r="42" spans="1:6" ht="24" hidden="1" x14ac:dyDescent="0.25">
      <c r="A42" s="19" t="s">
        <v>65</v>
      </c>
      <c r="B42" s="27" t="s">
        <v>201</v>
      </c>
      <c r="C42" s="28">
        <v>200</v>
      </c>
      <c r="D42" s="219">
        <f t="shared" si="7"/>
        <v>0</v>
      </c>
      <c r="E42" s="219">
        <f t="shared" si="7"/>
        <v>0</v>
      </c>
      <c r="F42" s="219">
        <f t="shared" si="7"/>
        <v>0</v>
      </c>
    </row>
    <row r="43" spans="1:6" ht="24" hidden="1" x14ac:dyDescent="0.25">
      <c r="A43" s="19" t="s">
        <v>28</v>
      </c>
      <c r="B43" s="27" t="s">
        <v>201</v>
      </c>
      <c r="C43" s="30">
        <v>240</v>
      </c>
      <c r="D43" s="220">
        <v>0</v>
      </c>
      <c r="E43" s="220">
        <v>0</v>
      </c>
      <c r="F43" s="220">
        <v>0</v>
      </c>
    </row>
    <row r="44" spans="1:6" ht="33.6" customHeight="1" x14ac:dyDescent="0.25">
      <c r="A44" s="17" t="s">
        <v>292</v>
      </c>
      <c r="B44" s="25" t="s">
        <v>250</v>
      </c>
      <c r="C44" s="26"/>
      <c r="D44" s="218">
        <f t="shared" si="7"/>
        <v>364000</v>
      </c>
      <c r="E44" s="218">
        <f t="shared" si="7"/>
        <v>0</v>
      </c>
      <c r="F44" s="218">
        <f t="shared" si="7"/>
        <v>0</v>
      </c>
    </row>
    <row r="45" spans="1:6" ht="24" x14ac:dyDescent="0.25">
      <c r="A45" s="19" t="s">
        <v>65</v>
      </c>
      <c r="B45" s="27" t="s">
        <v>250</v>
      </c>
      <c r="C45" s="28">
        <v>200</v>
      </c>
      <c r="D45" s="219">
        <f t="shared" si="7"/>
        <v>364000</v>
      </c>
      <c r="E45" s="219">
        <f t="shared" si="7"/>
        <v>0</v>
      </c>
      <c r="F45" s="219">
        <f t="shared" si="7"/>
        <v>0</v>
      </c>
    </row>
    <row r="46" spans="1:6" ht="24" x14ac:dyDescent="0.25">
      <c r="A46" s="19" t="s">
        <v>28</v>
      </c>
      <c r="B46" s="29" t="s">
        <v>250</v>
      </c>
      <c r="C46" s="30">
        <v>240</v>
      </c>
      <c r="D46" s="220">
        <f>364000</f>
        <v>364000</v>
      </c>
      <c r="E46" s="220">
        <v>0</v>
      </c>
      <c r="F46" s="220">
        <v>0</v>
      </c>
    </row>
    <row r="47" spans="1:6" ht="66" x14ac:dyDescent="0.25">
      <c r="A47" s="22" t="s">
        <v>73</v>
      </c>
      <c r="B47" s="24" t="s">
        <v>74</v>
      </c>
      <c r="C47" s="24"/>
      <c r="D47" s="215">
        <f>D48+D63+D69+D51+D54+D57+D66+D60</f>
        <v>4287894.9399999995</v>
      </c>
      <c r="E47" s="215">
        <f t="shared" ref="E47:F47" si="8">E48+E63+E69+E51+E54+E57+E66</f>
        <v>1031680</v>
      </c>
      <c r="F47" s="215">
        <f t="shared" si="8"/>
        <v>958131</v>
      </c>
    </row>
    <row r="48" spans="1:6" x14ac:dyDescent="0.25">
      <c r="A48" s="17" t="s">
        <v>75</v>
      </c>
      <c r="B48" s="31" t="s">
        <v>76</v>
      </c>
      <c r="C48" s="18"/>
      <c r="D48" s="221">
        <f>D49</f>
        <v>1224355</v>
      </c>
      <c r="E48" s="221">
        <f t="shared" ref="E48:F48" si="9">E49</f>
        <v>661280</v>
      </c>
      <c r="F48" s="221">
        <f t="shared" si="9"/>
        <v>587731</v>
      </c>
    </row>
    <row r="49" spans="1:6" ht="24" x14ac:dyDescent="0.25">
      <c r="A49" s="19" t="s">
        <v>65</v>
      </c>
      <c r="B49" s="32" t="s">
        <v>76</v>
      </c>
      <c r="C49" s="20">
        <v>200</v>
      </c>
      <c r="D49" s="222">
        <f>D50</f>
        <v>1224355</v>
      </c>
      <c r="E49" s="222">
        <f>E50</f>
        <v>661280</v>
      </c>
      <c r="F49" s="222">
        <f>F50</f>
        <v>587731</v>
      </c>
    </row>
    <row r="50" spans="1:6" ht="24" x14ac:dyDescent="0.25">
      <c r="A50" s="19" t="s">
        <v>28</v>
      </c>
      <c r="B50" s="32" t="s">
        <v>76</v>
      </c>
      <c r="C50" s="20">
        <v>240</v>
      </c>
      <c r="D50" s="222">
        <f>732000+341315+38000+113040</f>
        <v>1224355</v>
      </c>
      <c r="E50" s="222">
        <f>661280</f>
        <v>661280</v>
      </c>
      <c r="F50" s="222">
        <f>587731</f>
        <v>587731</v>
      </c>
    </row>
    <row r="51" spans="1:6" hidden="1" x14ac:dyDescent="0.25">
      <c r="A51" s="17" t="s">
        <v>125</v>
      </c>
      <c r="B51" s="31" t="s">
        <v>206</v>
      </c>
      <c r="C51" s="18"/>
      <c r="D51" s="221">
        <f>D52</f>
        <v>0</v>
      </c>
      <c r="E51" s="221">
        <f t="shared" ref="E51:F51" si="10">E52</f>
        <v>0</v>
      </c>
      <c r="F51" s="221">
        <f t="shared" si="10"/>
        <v>0</v>
      </c>
    </row>
    <row r="52" spans="1:6" ht="24" hidden="1" x14ac:dyDescent="0.25">
      <c r="A52" s="19" t="s">
        <v>65</v>
      </c>
      <c r="B52" s="32" t="s">
        <v>206</v>
      </c>
      <c r="C52" s="20">
        <v>200</v>
      </c>
      <c r="D52" s="222">
        <f>D53</f>
        <v>0</v>
      </c>
      <c r="E52" s="222">
        <f>E53</f>
        <v>0</v>
      </c>
      <c r="F52" s="222">
        <f>F53</f>
        <v>0</v>
      </c>
    </row>
    <row r="53" spans="1:6" ht="24" hidden="1" x14ac:dyDescent="0.25">
      <c r="A53" s="19" t="s">
        <v>28</v>
      </c>
      <c r="B53" s="32" t="s">
        <v>206</v>
      </c>
      <c r="C53" s="20">
        <v>240</v>
      </c>
      <c r="D53" s="222">
        <v>0</v>
      </c>
      <c r="E53" s="222">
        <v>0</v>
      </c>
      <c r="F53" s="222">
        <v>0</v>
      </c>
    </row>
    <row r="54" spans="1:6" ht="36" hidden="1" x14ac:dyDescent="0.25">
      <c r="A54" s="17" t="s">
        <v>208</v>
      </c>
      <c r="B54" s="116" t="s">
        <v>207</v>
      </c>
      <c r="C54" s="28"/>
      <c r="D54" s="223">
        <f t="shared" ref="D54:F55" si="11">D55</f>
        <v>0</v>
      </c>
      <c r="E54" s="223">
        <f t="shared" si="11"/>
        <v>0</v>
      </c>
      <c r="F54" s="223">
        <f t="shared" si="11"/>
        <v>0</v>
      </c>
    </row>
    <row r="55" spans="1:6" ht="24" hidden="1" x14ac:dyDescent="0.25">
      <c r="A55" s="19" t="s">
        <v>65</v>
      </c>
      <c r="B55" s="117" t="s">
        <v>207</v>
      </c>
      <c r="C55" s="28">
        <v>200</v>
      </c>
      <c r="D55" s="224">
        <f t="shared" si="11"/>
        <v>0</v>
      </c>
      <c r="E55" s="224">
        <f t="shared" si="11"/>
        <v>0</v>
      </c>
      <c r="F55" s="224">
        <f t="shared" si="11"/>
        <v>0</v>
      </c>
    </row>
    <row r="56" spans="1:6" ht="24" hidden="1" x14ac:dyDescent="0.25">
      <c r="A56" s="19" t="s">
        <v>28</v>
      </c>
      <c r="B56" s="117" t="s">
        <v>207</v>
      </c>
      <c r="C56" s="28">
        <v>240</v>
      </c>
      <c r="D56" s="225">
        <v>0</v>
      </c>
      <c r="E56" s="225">
        <v>0</v>
      </c>
      <c r="F56" s="225">
        <v>0</v>
      </c>
    </row>
    <row r="57" spans="1:6" ht="27" hidden="1" customHeight="1" x14ac:dyDescent="0.25">
      <c r="A57" s="17" t="s">
        <v>227</v>
      </c>
      <c r="B57" s="31" t="s">
        <v>229</v>
      </c>
      <c r="C57" s="18"/>
      <c r="D57" s="221">
        <f>D58</f>
        <v>0</v>
      </c>
      <c r="E57" s="221">
        <f t="shared" ref="E57:F57" si="12">E58</f>
        <v>0</v>
      </c>
      <c r="F57" s="221">
        <f t="shared" si="12"/>
        <v>0</v>
      </c>
    </row>
    <row r="58" spans="1:6" ht="24" hidden="1" x14ac:dyDescent="0.25">
      <c r="A58" s="19" t="s">
        <v>65</v>
      </c>
      <c r="B58" s="32" t="s">
        <v>229</v>
      </c>
      <c r="C58" s="20">
        <v>200</v>
      </c>
      <c r="D58" s="222">
        <f>D59</f>
        <v>0</v>
      </c>
      <c r="E58" s="222">
        <f>E59</f>
        <v>0</v>
      </c>
      <c r="F58" s="222">
        <f>F59</f>
        <v>0</v>
      </c>
    </row>
    <row r="59" spans="1:6" ht="24" hidden="1" x14ac:dyDescent="0.25">
      <c r="A59" s="19" t="s">
        <v>28</v>
      </c>
      <c r="B59" s="32" t="s">
        <v>229</v>
      </c>
      <c r="C59" s="20">
        <v>240</v>
      </c>
      <c r="D59" s="222">
        <v>0</v>
      </c>
      <c r="E59" s="222">
        <v>0</v>
      </c>
      <c r="F59" s="222">
        <v>0</v>
      </c>
    </row>
    <row r="60" spans="1:6" ht="24" x14ac:dyDescent="0.25">
      <c r="A60" s="314" t="s">
        <v>227</v>
      </c>
      <c r="B60" s="309" t="s">
        <v>226</v>
      </c>
      <c r="C60" s="309"/>
      <c r="D60" s="150">
        <f>D61</f>
        <v>30780</v>
      </c>
      <c r="E60" s="150">
        <f t="shared" ref="E60:F61" si="13">E61</f>
        <v>0</v>
      </c>
      <c r="F60" s="150">
        <f t="shared" si="13"/>
        <v>0</v>
      </c>
    </row>
    <row r="61" spans="1:6" ht="24" x14ac:dyDescent="0.25">
      <c r="A61" s="313" t="s">
        <v>65</v>
      </c>
      <c r="B61" s="311" t="s">
        <v>226</v>
      </c>
      <c r="C61" s="311">
        <v>200</v>
      </c>
      <c r="D61" s="307">
        <f>D62</f>
        <v>30780</v>
      </c>
      <c r="E61" s="307">
        <f t="shared" si="13"/>
        <v>0</v>
      </c>
      <c r="F61" s="307">
        <f t="shared" si="13"/>
        <v>0</v>
      </c>
    </row>
    <row r="62" spans="1:6" ht="24" x14ac:dyDescent="0.25">
      <c r="A62" s="313" t="s">
        <v>28</v>
      </c>
      <c r="B62" s="311" t="s">
        <v>226</v>
      </c>
      <c r="C62" s="311">
        <v>240</v>
      </c>
      <c r="D62" s="307">
        <f>30780</f>
        <v>30780</v>
      </c>
      <c r="E62" s="307">
        <v>0</v>
      </c>
      <c r="F62" s="307">
        <v>0</v>
      </c>
    </row>
    <row r="63" spans="1:6" ht="60" x14ac:dyDescent="0.25">
      <c r="A63" s="17" t="s">
        <v>77</v>
      </c>
      <c r="B63" s="116" t="s">
        <v>78</v>
      </c>
      <c r="C63" s="28"/>
      <c r="D63" s="223">
        <f t="shared" ref="D63:F64" si="14">D64</f>
        <v>105208.94</v>
      </c>
      <c r="E63" s="223">
        <f t="shared" si="14"/>
        <v>52500</v>
      </c>
      <c r="F63" s="223">
        <f t="shared" si="14"/>
        <v>52500</v>
      </c>
    </row>
    <row r="64" spans="1:6" ht="24" x14ac:dyDescent="0.25">
      <c r="A64" s="19" t="s">
        <v>65</v>
      </c>
      <c r="B64" s="117" t="s">
        <v>78</v>
      </c>
      <c r="C64" s="28">
        <v>200</v>
      </c>
      <c r="D64" s="224">
        <f t="shared" si="14"/>
        <v>105208.94</v>
      </c>
      <c r="E64" s="224">
        <f t="shared" si="14"/>
        <v>52500</v>
      </c>
      <c r="F64" s="224">
        <f t="shared" si="14"/>
        <v>52500</v>
      </c>
    </row>
    <row r="65" spans="1:6" ht="24" x14ac:dyDescent="0.25">
      <c r="A65" s="19" t="s">
        <v>28</v>
      </c>
      <c r="B65" s="117" t="s">
        <v>78</v>
      </c>
      <c r="C65" s="28">
        <v>240</v>
      </c>
      <c r="D65" s="225">
        <f>52500+55000-2291.06</f>
        <v>105208.94</v>
      </c>
      <c r="E65" s="225">
        <f>52500</f>
        <v>52500</v>
      </c>
      <c r="F65" s="225">
        <f>52500</f>
        <v>52500</v>
      </c>
    </row>
    <row r="66" spans="1:6" s="315" customFormat="1" ht="23.45" customHeight="1" x14ac:dyDescent="0.25">
      <c r="A66" s="314" t="s">
        <v>296</v>
      </c>
      <c r="B66" s="309" t="s">
        <v>295</v>
      </c>
      <c r="C66" s="309"/>
      <c r="D66" s="150">
        <f>D67</f>
        <v>2609651</v>
      </c>
      <c r="E66" s="150">
        <f t="shared" ref="E66:F67" si="15">E67</f>
        <v>0</v>
      </c>
      <c r="F66" s="150">
        <f t="shared" si="15"/>
        <v>0</v>
      </c>
    </row>
    <row r="67" spans="1:6" s="315" customFormat="1" ht="24" x14ac:dyDescent="0.25">
      <c r="A67" s="313" t="s">
        <v>65</v>
      </c>
      <c r="B67" s="311" t="s">
        <v>295</v>
      </c>
      <c r="C67" s="311">
        <v>200</v>
      </c>
      <c r="D67" s="307">
        <f>D68</f>
        <v>2609651</v>
      </c>
      <c r="E67" s="307">
        <f t="shared" si="15"/>
        <v>0</v>
      </c>
      <c r="F67" s="307">
        <f t="shared" si="15"/>
        <v>0</v>
      </c>
    </row>
    <row r="68" spans="1:6" s="315" customFormat="1" ht="24" x14ac:dyDescent="0.25">
      <c r="A68" s="313" t="s">
        <v>28</v>
      </c>
      <c r="B68" s="311" t="s">
        <v>295</v>
      </c>
      <c r="C68" s="311">
        <v>240</v>
      </c>
      <c r="D68" s="307">
        <f>2609651</f>
        <v>2609651</v>
      </c>
      <c r="E68" s="307">
        <v>0</v>
      </c>
      <c r="F68" s="307">
        <v>0</v>
      </c>
    </row>
    <row r="69" spans="1:6" ht="24" x14ac:dyDescent="0.25">
      <c r="A69" s="17" t="s">
        <v>175</v>
      </c>
      <c r="B69" s="18" t="s">
        <v>183</v>
      </c>
      <c r="C69" s="18"/>
      <c r="D69" s="221">
        <f>D70</f>
        <v>317900</v>
      </c>
      <c r="E69" s="221">
        <f t="shared" ref="E69:F70" si="16">E70</f>
        <v>317900</v>
      </c>
      <c r="F69" s="221">
        <f t="shared" si="16"/>
        <v>317900</v>
      </c>
    </row>
    <row r="70" spans="1:6" ht="24" x14ac:dyDescent="0.25">
      <c r="A70" s="19" t="s">
        <v>65</v>
      </c>
      <c r="B70" s="20" t="s">
        <v>183</v>
      </c>
      <c r="C70" s="20">
        <v>200</v>
      </c>
      <c r="D70" s="222">
        <f>D71</f>
        <v>317900</v>
      </c>
      <c r="E70" s="222">
        <f t="shared" si="16"/>
        <v>317900</v>
      </c>
      <c r="F70" s="222">
        <f t="shared" si="16"/>
        <v>317900</v>
      </c>
    </row>
    <row r="71" spans="1:6" ht="24" x14ac:dyDescent="0.25">
      <c r="A71" s="19" t="s">
        <v>28</v>
      </c>
      <c r="B71" s="20" t="s">
        <v>183</v>
      </c>
      <c r="C71" s="20">
        <v>240</v>
      </c>
      <c r="D71" s="222">
        <f>317900</f>
        <v>317900</v>
      </c>
      <c r="E71" s="222">
        <f t="shared" ref="E71:F71" si="17">317900</f>
        <v>317900</v>
      </c>
      <c r="F71" s="222">
        <f t="shared" si="17"/>
        <v>317900</v>
      </c>
    </row>
    <row r="72" spans="1:6" ht="66" customHeight="1" x14ac:dyDescent="0.25">
      <c r="A72" s="22" t="s">
        <v>256</v>
      </c>
      <c r="B72" s="23" t="s">
        <v>79</v>
      </c>
      <c r="C72" s="24"/>
      <c r="D72" s="212">
        <f t="shared" ref="D72:F74" si="18">D73</f>
        <v>100000</v>
      </c>
      <c r="E72" s="212">
        <f t="shared" si="18"/>
        <v>30000</v>
      </c>
      <c r="F72" s="212">
        <f t="shared" si="18"/>
        <v>20000</v>
      </c>
    </row>
    <row r="73" spans="1:6" ht="30.75" customHeight="1" x14ac:dyDescent="0.25">
      <c r="A73" s="17" t="s">
        <v>80</v>
      </c>
      <c r="B73" s="34" t="s">
        <v>81</v>
      </c>
      <c r="C73" s="18"/>
      <c r="D73" s="226">
        <f t="shared" si="18"/>
        <v>100000</v>
      </c>
      <c r="E73" s="226">
        <f t="shared" si="18"/>
        <v>30000</v>
      </c>
      <c r="F73" s="226">
        <f t="shared" si="18"/>
        <v>20000</v>
      </c>
    </row>
    <row r="74" spans="1:6" ht="23.25" customHeight="1" x14ac:dyDescent="0.25">
      <c r="A74" s="19" t="s">
        <v>65</v>
      </c>
      <c r="B74" s="35" t="s">
        <v>81</v>
      </c>
      <c r="C74" s="20">
        <v>200</v>
      </c>
      <c r="D74" s="227">
        <f t="shared" si="18"/>
        <v>100000</v>
      </c>
      <c r="E74" s="227">
        <f t="shared" si="18"/>
        <v>30000</v>
      </c>
      <c r="F74" s="227">
        <f t="shared" si="18"/>
        <v>20000</v>
      </c>
    </row>
    <row r="75" spans="1:6" ht="24" x14ac:dyDescent="0.25">
      <c r="A75" s="19" t="s">
        <v>28</v>
      </c>
      <c r="B75" s="35" t="s">
        <v>81</v>
      </c>
      <c r="C75" s="20">
        <v>240</v>
      </c>
      <c r="D75" s="227">
        <f>100000</f>
        <v>100000</v>
      </c>
      <c r="E75" s="227">
        <f>30000</f>
        <v>30000</v>
      </c>
      <c r="F75" s="227">
        <f>20000</f>
        <v>20000</v>
      </c>
    </row>
    <row r="76" spans="1:6" ht="61.9" customHeight="1" x14ac:dyDescent="0.25">
      <c r="A76" s="86" t="s">
        <v>164</v>
      </c>
      <c r="B76" s="90" t="s">
        <v>161</v>
      </c>
      <c r="C76" s="94"/>
      <c r="D76" s="228">
        <f>D89+D92+D83+D86+D77+D80</f>
        <v>965179.27</v>
      </c>
      <c r="E76" s="228">
        <f t="shared" ref="E76:F76" si="19">E89+E92+E83+E86+E77</f>
        <v>568259.89</v>
      </c>
      <c r="F76" s="228">
        <f t="shared" si="19"/>
        <v>0</v>
      </c>
    </row>
    <row r="77" spans="1:6" ht="30" hidden="1" customHeight="1" x14ac:dyDescent="0.25">
      <c r="A77" s="17" t="s">
        <v>219</v>
      </c>
      <c r="B77" s="258" t="s">
        <v>230</v>
      </c>
      <c r="C77" s="4"/>
      <c r="D77" s="216">
        <f>D78</f>
        <v>0</v>
      </c>
      <c r="E77" s="216">
        <f t="shared" ref="E77:F81" si="20">E78</f>
        <v>0</v>
      </c>
      <c r="F77" s="216">
        <f t="shared" si="20"/>
        <v>0</v>
      </c>
    </row>
    <row r="78" spans="1:6" ht="20.45" hidden="1" customHeight="1" x14ac:dyDescent="0.25">
      <c r="A78" s="19" t="s">
        <v>65</v>
      </c>
      <c r="B78" s="40" t="s">
        <v>230</v>
      </c>
      <c r="C78" s="20">
        <v>200</v>
      </c>
      <c r="D78" s="217">
        <f>D79</f>
        <v>0</v>
      </c>
      <c r="E78" s="217">
        <f t="shared" si="20"/>
        <v>0</v>
      </c>
      <c r="F78" s="217">
        <f t="shared" si="20"/>
        <v>0</v>
      </c>
    </row>
    <row r="79" spans="1:6" ht="30" hidden="1" customHeight="1" x14ac:dyDescent="0.25">
      <c r="A79" s="19" t="s">
        <v>28</v>
      </c>
      <c r="B79" s="40" t="s">
        <v>230</v>
      </c>
      <c r="C79" s="20">
        <v>240</v>
      </c>
      <c r="D79" s="217">
        <v>0</v>
      </c>
      <c r="E79" s="217">
        <v>0</v>
      </c>
      <c r="F79" s="217">
        <v>0</v>
      </c>
    </row>
    <row r="80" spans="1:6" ht="30" hidden="1" customHeight="1" x14ac:dyDescent="0.25">
      <c r="A80" s="17" t="s">
        <v>232</v>
      </c>
      <c r="B80" s="269" t="s">
        <v>231</v>
      </c>
      <c r="C80" s="4"/>
      <c r="D80" s="216">
        <f>D81</f>
        <v>0</v>
      </c>
      <c r="E80" s="216">
        <f t="shared" si="20"/>
        <v>0</v>
      </c>
      <c r="F80" s="216">
        <f t="shared" si="20"/>
        <v>0</v>
      </c>
    </row>
    <row r="81" spans="1:6" ht="20.45" hidden="1" customHeight="1" x14ac:dyDescent="0.25">
      <c r="A81" s="19" t="s">
        <v>65</v>
      </c>
      <c r="B81" s="40" t="s">
        <v>231</v>
      </c>
      <c r="C81" s="20">
        <v>200</v>
      </c>
      <c r="D81" s="217">
        <f>D82</f>
        <v>0</v>
      </c>
      <c r="E81" s="217">
        <f t="shared" si="20"/>
        <v>0</v>
      </c>
      <c r="F81" s="217">
        <f t="shared" si="20"/>
        <v>0</v>
      </c>
    </row>
    <row r="82" spans="1:6" ht="30" hidden="1" customHeight="1" x14ac:dyDescent="0.25">
      <c r="A82" s="19" t="s">
        <v>28</v>
      </c>
      <c r="B82" s="40" t="s">
        <v>231</v>
      </c>
      <c r="C82" s="20">
        <v>240</v>
      </c>
      <c r="D82" s="217">
        <v>0</v>
      </c>
      <c r="E82" s="217">
        <v>0</v>
      </c>
      <c r="F82" s="217">
        <v>0</v>
      </c>
    </row>
    <row r="83" spans="1:6" ht="38.450000000000003" customHeight="1" x14ac:dyDescent="0.25">
      <c r="A83" s="85" t="s">
        <v>199</v>
      </c>
      <c r="B83" s="91" t="s">
        <v>204</v>
      </c>
      <c r="C83" s="93"/>
      <c r="D83" s="229">
        <f>D84</f>
        <v>459000</v>
      </c>
      <c r="E83" s="229">
        <f t="shared" ref="E83:F87" si="21">E84</f>
        <v>0</v>
      </c>
      <c r="F83" s="229">
        <f t="shared" si="21"/>
        <v>0</v>
      </c>
    </row>
    <row r="84" spans="1:6" ht="23.25" customHeight="1" x14ac:dyDescent="0.25">
      <c r="A84" s="89" t="s">
        <v>65</v>
      </c>
      <c r="B84" s="92" t="s">
        <v>204</v>
      </c>
      <c r="C84" s="98">
        <v>200</v>
      </c>
      <c r="D84" s="230">
        <f>D85</f>
        <v>459000</v>
      </c>
      <c r="E84" s="230">
        <f t="shared" si="21"/>
        <v>0</v>
      </c>
      <c r="F84" s="230">
        <f t="shared" si="21"/>
        <v>0</v>
      </c>
    </row>
    <row r="85" spans="1:6" ht="24" x14ac:dyDescent="0.25">
      <c r="A85" s="89" t="s">
        <v>28</v>
      </c>
      <c r="B85" s="92" t="s">
        <v>204</v>
      </c>
      <c r="C85" s="98">
        <v>240</v>
      </c>
      <c r="D85" s="230">
        <f>78030+380970</f>
        <v>459000</v>
      </c>
      <c r="E85" s="230">
        <v>0</v>
      </c>
      <c r="F85" s="230">
        <v>0</v>
      </c>
    </row>
    <row r="86" spans="1:6" ht="24" hidden="1" x14ac:dyDescent="0.25">
      <c r="A86" s="85" t="s">
        <v>200</v>
      </c>
      <c r="B86" s="91" t="s">
        <v>205</v>
      </c>
      <c r="C86" s="93"/>
      <c r="D86" s="229">
        <f>D87</f>
        <v>0</v>
      </c>
      <c r="E86" s="229">
        <f t="shared" si="21"/>
        <v>0</v>
      </c>
      <c r="F86" s="229">
        <f t="shared" si="21"/>
        <v>0</v>
      </c>
    </row>
    <row r="87" spans="1:6" ht="24" hidden="1" x14ac:dyDescent="0.25">
      <c r="A87" s="89" t="s">
        <v>65</v>
      </c>
      <c r="B87" s="92" t="s">
        <v>205</v>
      </c>
      <c r="C87" s="98">
        <v>200</v>
      </c>
      <c r="D87" s="230">
        <f>D88</f>
        <v>0</v>
      </c>
      <c r="E87" s="230">
        <f t="shared" si="21"/>
        <v>0</v>
      </c>
      <c r="F87" s="230">
        <f t="shared" si="21"/>
        <v>0</v>
      </c>
    </row>
    <row r="88" spans="1:6" ht="24" hidden="1" x14ac:dyDescent="0.25">
      <c r="A88" s="89" t="s">
        <v>28</v>
      </c>
      <c r="B88" s="92" t="s">
        <v>205</v>
      </c>
      <c r="C88" s="98">
        <v>240</v>
      </c>
      <c r="D88" s="230">
        <f>4.2-4.2</f>
        <v>0</v>
      </c>
      <c r="E88" s="230">
        <v>0</v>
      </c>
      <c r="F88" s="230">
        <v>0</v>
      </c>
    </row>
    <row r="89" spans="1:6" ht="19.149999999999999" customHeight="1" x14ac:dyDescent="0.25">
      <c r="A89" s="85" t="s">
        <v>166</v>
      </c>
      <c r="B89" s="91" t="s">
        <v>165</v>
      </c>
      <c r="C89" s="93"/>
      <c r="D89" s="229">
        <f>D90</f>
        <v>506179.27</v>
      </c>
      <c r="E89" s="229">
        <f t="shared" ref="E89:E90" si="22">E90</f>
        <v>568259.89</v>
      </c>
      <c r="F89" s="229">
        <f t="shared" ref="F89:F90" si="23">F90</f>
        <v>0</v>
      </c>
    </row>
    <row r="90" spans="1:6" ht="23.25" customHeight="1" x14ac:dyDescent="0.25">
      <c r="A90" s="89" t="s">
        <v>65</v>
      </c>
      <c r="B90" s="92" t="s">
        <v>165</v>
      </c>
      <c r="C90" s="98">
        <v>200</v>
      </c>
      <c r="D90" s="230">
        <f>D91</f>
        <v>506179.27</v>
      </c>
      <c r="E90" s="230">
        <f t="shared" si="22"/>
        <v>568259.89</v>
      </c>
      <c r="F90" s="230">
        <f t="shared" si="23"/>
        <v>0</v>
      </c>
    </row>
    <row r="91" spans="1:6" ht="24" x14ac:dyDescent="0.25">
      <c r="A91" s="89" t="s">
        <v>28</v>
      </c>
      <c r="B91" s="92" t="s">
        <v>165</v>
      </c>
      <c r="C91" s="98">
        <v>240</v>
      </c>
      <c r="D91" s="230">
        <f>8640+509203.64+1544.07-12949.45-258.99</f>
        <v>506179.27</v>
      </c>
      <c r="E91" s="230">
        <f>557117.54+11142.35</f>
        <v>568259.89</v>
      </c>
      <c r="F91" s="230">
        <v>0</v>
      </c>
    </row>
    <row r="92" spans="1:6" ht="24.6" hidden="1" customHeight="1" x14ac:dyDescent="0.25">
      <c r="A92" s="87" t="s">
        <v>160</v>
      </c>
      <c r="B92" s="95" t="s">
        <v>162</v>
      </c>
      <c r="C92" s="96"/>
      <c r="D92" s="230">
        <f t="shared" ref="D92:F93" si="24">D93</f>
        <v>0</v>
      </c>
      <c r="E92" s="230">
        <f t="shared" si="24"/>
        <v>0</v>
      </c>
      <c r="F92" s="230">
        <f t="shared" si="24"/>
        <v>0</v>
      </c>
    </row>
    <row r="93" spans="1:6" ht="24" hidden="1" x14ac:dyDescent="0.25">
      <c r="A93" s="88" t="s">
        <v>65</v>
      </c>
      <c r="B93" s="97" t="s">
        <v>163</v>
      </c>
      <c r="C93" s="96">
        <v>200</v>
      </c>
      <c r="D93" s="230">
        <f t="shared" si="24"/>
        <v>0</v>
      </c>
      <c r="E93" s="230">
        <f t="shared" si="24"/>
        <v>0</v>
      </c>
      <c r="F93" s="230">
        <f t="shared" si="24"/>
        <v>0</v>
      </c>
    </row>
    <row r="94" spans="1:6" ht="24" hidden="1" x14ac:dyDescent="0.25">
      <c r="A94" s="88" t="s">
        <v>28</v>
      </c>
      <c r="B94" s="97" t="s">
        <v>163</v>
      </c>
      <c r="C94" s="96">
        <v>240</v>
      </c>
      <c r="D94" s="230">
        <v>0</v>
      </c>
      <c r="E94" s="230">
        <v>0</v>
      </c>
      <c r="F94" s="230">
        <v>0</v>
      </c>
    </row>
    <row r="95" spans="1:6" s="109" customFormat="1" ht="61.15" hidden="1" customHeight="1" x14ac:dyDescent="0.25">
      <c r="A95" s="14" t="s">
        <v>170</v>
      </c>
      <c r="B95" s="15" t="s">
        <v>169</v>
      </c>
      <c r="C95" s="108"/>
      <c r="D95" s="212">
        <f>D96</f>
        <v>0</v>
      </c>
      <c r="E95" s="212">
        <f t="shared" ref="E95:F97" si="25">E96</f>
        <v>0</v>
      </c>
      <c r="F95" s="212">
        <f t="shared" si="25"/>
        <v>0</v>
      </c>
    </row>
    <row r="96" spans="1:6" s="109" customFormat="1" hidden="1" x14ac:dyDescent="0.25">
      <c r="A96" s="110" t="s">
        <v>171</v>
      </c>
      <c r="B96" s="36" t="s">
        <v>172</v>
      </c>
      <c r="C96" s="108"/>
      <c r="D96" s="226">
        <f>D97</f>
        <v>0</v>
      </c>
      <c r="E96" s="226">
        <f t="shared" si="25"/>
        <v>0</v>
      </c>
      <c r="F96" s="226">
        <f t="shared" si="25"/>
        <v>0</v>
      </c>
    </row>
    <row r="97" spans="1:6" s="109" customFormat="1" hidden="1" x14ac:dyDescent="0.25">
      <c r="A97" s="33" t="s">
        <v>65</v>
      </c>
      <c r="B97" s="40" t="s">
        <v>172</v>
      </c>
      <c r="C97" s="20">
        <v>200</v>
      </c>
      <c r="D97" s="227">
        <f>D98</f>
        <v>0</v>
      </c>
      <c r="E97" s="226">
        <f t="shared" si="25"/>
        <v>0</v>
      </c>
      <c r="F97" s="226">
        <f t="shared" si="25"/>
        <v>0</v>
      </c>
    </row>
    <row r="98" spans="1:6" s="109" customFormat="1" ht="24" hidden="1" x14ac:dyDescent="0.25">
      <c r="A98" s="19" t="s">
        <v>28</v>
      </c>
      <c r="B98" s="40" t="s">
        <v>172</v>
      </c>
      <c r="C98" s="20">
        <v>240</v>
      </c>
      <c r="D98" s="227">
        <f>10-10</f>
        <v>0</v>
      </c>
      <c r="E98" s="226">
        <v>0</v>
      </c>
      <c r="F98" s="226">
        <v>0</v>
      </c>
    </row>
    <row r="99" spans="1:6" s="109" customFormat="1" ht="82.5" hidden="1" x14ac:dyDescent="0.25">
      <c r="A99" s="86" t="s">
        <v>222</v>
      </c>
      <c r="B99" s="90" t="s">
        <v>221</v>
      </c>
      <c r="C99" s="94"/>
      <c r="D99" s="228">
        <f>D100+D103</f>
        <v>0</v>
      </c>
      <c r="E99" s="228">
        <f t="shared" ref="E99:F99" si="26">E100</f>
        <v>0</v>
      </c>
      <c r="F99" s="228">
        <f t="shared" si="26"/>
        <v>0</v>
      </c>
    </row>
    <row r="100" spans="1:6" s="109" customFormat="1" hidden="1" x14ac:dyDescent="0.25">
      <c r="A100" s="17" t="s">
        <v>224</v>
      </c>
      <c r="B100" s="266" t="s">
        <v>223</v>
      </c>
      <c r="C100" s="4"/>
      <c r="D100" s="216">
        <f>D101</f>
        <v>0</v>
      </c>
      <c r="E100" s="216">
        <f t="shared" ref="E100:F104" si="27">E101</f>
        <v>0</v>
      </c>
      <c r="F100" s="216">
        <f t="shared" si="27"/>
        <v>0</v>
      </c>
    </row>
    <row r="101" spans="1:6" s="109" customFormat="1" ht="24" hidden="1" x14ac:dyDescent="0.25">
      <c r="A101" s="19" t="s">
        <v>65</v>
      </c>
      <c r="B101" s="40" t="s">
        <v>228</v>
      </c>
      <c r="C101" s="20">
        <v>200</v>
      </c>
      <c r="D101" s="217">
        <f>D102</f>
        <v>0</v>
      </c>
      <c r="E101" s="217">
        <f t="shared" si="27"/>
        <v>0</v>
      </c>
      <c r="F101" s="217">
        <f t="shared" si="27"/>
        <v>0</v>
      </c>
    </row>
    <row r="102" spans="1:6" s="109" customFormat="1" ht="24" hidden="1" x14ac:dyDescent="0.25">
      <c r="A102" s="19" t="s">
        <v>28</v>
      </c>
      <c r="B102" s="40" t="s">
        <v>223</v>
      </c>
      <c r="C102" s="20">
        <v>240</v>
      </c>
      <c r="D102" s="217">
        <v>0</v>
      </c>
      <c r="E102" s="217">
        <v>0</v>
      </c>
      <c r="F102" s="217">
        <v>0</v>
      </c>
    </row>
    <row r="103" spans="1:6" s="109" customFormat="1" ht="24" hidden="1" x14ac:dyDescent="0.25">
      <c r="A103" s="17" t="s">
        <v>233</v>
      </c>
      <c r="B103" s="269" t="s">
        <v>234</v>
      </c>
      <c r="C103" s="4"/>
      <c r="D103" s="216">
        <f>D104</f>
        <v>0</v>
      </c>
      <c r="E103" s="216">
        <f t="shared" si="27"/>
        <v>0</v>
      </c>
      <c r="F103" s="216">
        <f t="shared" si="27"/>
        <v>0</v>
      </c>
    </row>
    <row r="104" spans="1:6" s="109" customFormat="1" ht="24" hidden="1" x14ac:dyDescent="0.25">
      <c r="A104" s="19" t="s">
        <v>65</v>
      </c>
      <c r="B104" s="40" t="s">
        <v>235</v>
      </c>
      <c r="C104" s="20">
        <v>200</v>
      </c>
      <c r="D104" s="217">
        <f>D105</f>
        <v>0</v>
      </c>
      <c r="E104" s="217">
        <f t="shared" si="27"/>
        <v>0</v>
      </c>
      <c r="F104" s="217">
        <f t="shared" si="27"/>
        <v>0</v>
      </c>
    </row>
    <row r="105" spans="1:6" s="109" customFormat="1" ht="24" hidden="1" x14ac:dyDescent="0.25">
      <c r="A105" s="19" t="s">
        <v>28</v>
      </c>
      <c r="B105" s="40" t="s">
        <v>235</v>
      </c>
      <c r="C105" s="20">
        <v>240</v>
      </c>
      <c r="D105" s="217">
        <v>0</v>
      </c>
      <c r="E105" s="217">
        <v>0</v>
      </c>
      <c r="F105" s="217">
        <v>0</v>
      </c>
    </row>
    <row r="106" spans="1:6" ht="37.5" customHeight="1" x14ac:dyDescent="0.25">
      <c r="A106" s="11" t="s">
        <v>47</v>
      </c>
      <c r="B106" s="12"/>
      <c r="C106" s="13"/>
      <c r="D106" s="231">
        <f>D107+D131+D135+D143+D159+D183+D235+D258+D266+D165+D169+D245</f>
        <v>15176564.040000001</v>
      </c>
      <c r="E106" s="231">
        <f>E107+E131+E135+E143+E159+E183+E235+E258+E266+E165+E169+E245</f>
        <v>11740738.65</v>
      </c>
      <c r="F106" s="231">
        <f t="shared" ref="F106" si="28">F107+F131+F135+F143+F159+F183+F235+F258+F266+F165+F169+F245</f>
        <v>11702310.5</v>
      </c>
    </row>
    <row r="107" spans="1:6" ht="39" customHeight="1" x14ac:dyDescent="0.25">
      <c r="A107" s="17" t="s">
        <v>82</v>
      </c>
      <c r="B107" s="36" t="s">
        <v>83</v>
      </c>
      <c r="C107" s="37"/>
      <c r="D107" s="216">
        <f>D108+D115</f>
        <v>4881969.82</v>
      </c>
      <c r="E107" s="216">
        <f>E108+E115</f>
        <v>3839677.65</v>
      </c>
      <c r="F107" s="216">
        <f>F108+F115</f>
        <v>3864372.1</v>
      </c>
    </row>
    <row r="108" spans="1:6" x14ac:dyDescent="0.25">
      <c r="A108" s="38" t="s">
        <v>84</v>
      </c>
      <c r="B108" s="36" t="s">
        <v>85</v>
      </c>
      <c r="C108" s="18"/>
      <c r="D108" s="232">
        <f>D109+D112</f>
        <v>1122670</v>
      </c>
      <c r="E108" s="232">
        <f>E109+E112</f>
        <v>1121900</v>
      </c>
      <c r="F108" s="232">
        <f>F109+F112</f>
        <v>1133119</v>
      </c>
    </row>
    <row r="109" spans="1:6" ht="28.5" customHeight="1" x14ac:dyDescent="0.25">
      <c r="A109" s="39" t="s">
        <v>49</v>
      </c>
      <c r="B109" s="40" t="s">
        <v>86</v>
      </c>
      <c r="C109" s="20"/>
      <c r="D109" s="233">
        <f t="shared" ref="D109:F110" si="29">D110</f>
        <v>1122670</v>
      </c>
      <c r="E109" s="233">
        <f t="shared" si="29"/>
        <v>1121900</v>
      </c>
      <c r="F109" s="233">
        <f t="shared" si="29"/>
        <v>1133119</v>
      </c>
    </row>
    <row r="110" spans="1:6" ht="39.75" customHeight="1" x14ac:dyDescent="0.25">
      <c r="A110" s="39" t="s">
        <v>87</v>
      </c>
      <c r="B110" s="40" t="s">
        <v>86</v>
      </c>
      <c r="C110" s="20">
        <v>100</v>
      </c>
      <c r="D110" s="233">
        <f t="shared" si="29"/>
        <v>1122670</v>
      </c>
      <c r="E110" s="233">
        <f t="shared" si="29"/>
        <v>1121900</v>
      </c>
      <c r="F110" s="233">
        <f t="shared" si="29"/>
        <v>1133119</v>
      </c>
    </row>
    <row r="111" spans="1:6" ht="20.25" customHeight="1" x14ac:dyDescent="0.25">
      <c r="A111" s="39" t="s">
        <v>13</v>
      </c>
      <c r="B111" s="40" t="s">
        <v>86</v>
      </c>
      <c r="C111" s="20">
        <v>120</v>
      </c>
      <c r="D111" s="233">
        <f>1110790+11880</f>
        <v>1122670</v>
      </c>
      <c r="E111" s="233">
        <f>1121900</f>
        <v>1121900</v>
      </c>
      <c r="F111" s="233">
        <f>1133119</f>
        <v>1133119</v>
      </c>
    </row>
    <row r="112" spans="1:6" ht="51.75" hidden="1" customHeight="1" x14ac:dyDescent="0.25">
      <c r="A112" s="41"/>
      <c r="B112" s="26"/>
      <c r="C112" s="26"/>
      <c r="D112" s="218"/>
      <c r="E112" s="218"/>
      <c r="F112" s="218"/>
    </row>
    <row r="113" spans="1:6" ht="38.25" hidden="1" customHeight="1" x14ac:dyDescent="0.25">
      <c r="A113" s="39"/>
      <c r="B113" s="28"/>
      <c r="C113" s="28"/>
      <c r="D113" s="219"/>
      <c r="E113" s="219"/>
      <c r="F113" s="219"/>
    </row>
    <row r="114" spans="1:6" ht="20.25" hidden="1" customHeight="1" x14ac:dyDescent="0.25">
      <c r="A114" s="39"/>
      <c r="B114" s="28"/>
      <c r="C114" s="28"/>
      <c r="D114" s="219"/>
      <c r="E114" s="219"/>
      <c r="F114" s="219"/>
    </row>
    <row r="115" spans="1:6" x14ac:dyDescent="0.25">
      <c r="A115" s="38" t="s">
        <v>89</v>
      </c>
      <c r="B115" s="36" t="s">
        <v>90</v>
      </c>
      <c r="C115" s="18"/>
      <c r="D115" s="216">
        <f>D116+D126+D123</f>
        <v>3759299.8200000003</v>
      </c>
      <c r="E115" s="216">
        <f t="shared" ref="E115:F115" si="30">E116+E126+E123</f>
        <v>2717777.65</v>
      </c>
      <c r="F115" s="216">
        <f t="shared" si="30"/>
        <v>2731253.1</v>
      </c>
    </row>
    <row r="116" spans="1:6" ht="27" customHeight="1" x14ac:dyDescent="0.25">
      <c r="A116" s="39" t="s">
        <v>49</v>
      </c>
      <c r="B116" s="40" t="s">
        <v>91</v>
      </c>
      <c r="C116" s="20"/>
      <c r="D116" s="217">
        <f>D117+D119+D121</f>
        <v>3421240.6</v>
      </c>
      <c r="E116" s="217">
        <f>E117+E119+E121</f>
        <v>2387677.65</v>
      </c>
      <c r="F116" s="217">
        <f>F117+F119+F121</f>
        <v>2401153.1</v>
      </c>
    </row>
    <row r="117" spans="1:6" ht="36" x14ac:dyDescent="0.25">
      <c r="A117" s="39" t="s">
        <v>87</v>
      </c>
      <c r="B117" s="40" t="s">
        <v>91</v>
      </c>
      <c r="C117" s="20">
        <v>100</v>
      </c>
      <c r="D117" s="217">
        <f>D118</f>
        <v>3081800.6</v>
      </c>
      <c r="E117" s="217">
        <f>E118</f>
        <v>2347477.65</v>
      </c>
      <c r="F117" s="217">
        <f>F118</f>
        <v>2370953.1</v>
      </c>
    </row>
    <row r="118" spans="1:6" x14ac:dyDescent="0.25">
      <c r="A118" s="39" t="s">
        <v>13</v>
      </c>
      <c r="B118" s="40" t="s">
        <v>91</v>
      </c>
      <c r="C118" s="20">
        <v>120</v>
      </c>
      <c r="D118" s="217">
        <f>2405894.64+54945.96+50000+435000-56000+191960</f>
        <v>3081800.6</v>
      </c>
      <c r="E118" s="217">
        <f>2347477.65</f>
        <v>2347477.65</v>
      </c>
      <c r="F118" s="217">
        <f>2370953.1</f>
        <v>2370953.1</v>
      </c>
    </row>
    <row r="119" spans="1:6" x14ac:dyDescent="0.25">
      <c r="A119" s="33" t="s">
        <v>65</v>
      </c>
      <c r="B119" s="40" t="s">
        <v>91</v>
      </c>
      <c r="C119" s="20">
        <v>200</v>
      </c>
      <c r="D119" s="233">
        <f>D120</f>
        <v>339240</v>
      </c>
      <c r="E119" s="233">
        <f>E120</f>
        <v>40000</v>
      </c>
      <c r="F119" s="233">
        <f>F120</f>
        <v>30000</v>
      </c>
    </row>
    <row r="120" spans="1:6" ht="27.75" customHeight="1" x14ac:dyDescent="0.25">
      <c r="A120" s="19" t="s">
        <v>28</v>
      </c>
      <c r="B120" s="40" t="s">
        <v>91</v>
      </c>
      <c r="C120" s="20">
        <v>240</v>
      </c>
      <c r="D120" s="233">
        <f>50000+100000+56000+40000+93240</f>
        <v>339240</v>
      </c>
      <c r="E120" s="233">
        <f>40000</f>
        <v>40000</v>
      </c>
      <c r="F120" s="233">
        <f>30000</f>
        <v>30000</v>
      </c>
    </row>
    <row r="121" spans="1:6" ht="16.899999999999999" customHeight="1" x14ac:dyDescent="0.25">
      <c r="A121" s="33" t="s">
        <v>14</v>
      </c>
      <c r="B121" s="40" t="s">
        <v>91</v>
      </c>
      <c r="C121" s="20">
        <v>800</v>
      </c>
      <c r="D121" s="233">
        <f>D122</f>
        <v>200</v>
      </c>
      <c r="E121" s="233">
        <f>E122</f>
        <v>200</v>
      </c>
      <c r="F121" s="233">
        <f>F122</f>
        <v>200</v>
      </c>
    </row>
    <row r="122" spans="1:6" ht="16.149999999999999" customHeight="1" x14ac:dyDescent="0.25">
      <c r="A122" s="19" t="s">
        <v>15</v>
      </c>
      <c r="B122" s="40" t="s">
        <v>91</v>
      </c>
      <c r="C122" s="20">
        <v>850</v>
      </c>
      <c r="D122" s="233">
        <f>200</f>
        <v>200</v>
      </c>
      <c r="E122" s="233">
        <f>200</f>
        <v>200</v>
      </c>
      <c r="F122" s="233">
        <f>200</f>
        <v>200</v>
      </c>
    </row>
    <row r="123" spans="1:6" ht="35.450000000000003" customHeight="1" x14ac:dyDescent="0.25">
      <c r="A123" s="341" t="s">
        <v>305</v>
      </c>
      <c r="B123" s="178" t="s">
        <v>304</v>
      </c>
      <c r="C123" s="142"/>
      <c r="D123" s="340">
        <f>D124</f>
        <v>7959.22</v>
      </c>
      <c r="E123" s="340">
        <f t="shared" ref="E123:F124" si="31">E124</f>
        <v>0</v>
      </c>
      <c r="F123" s="340">
        <f t="shared" si="31"/>
        <v>0</v>
      </c>
    </row>
    <row r="124" spans="1:6" ht="45.6" customHeight="1" x14ac:dyDescent="0.25">
      <c r="A124" s="341" t="s">
        <v>12</v>
      </c>
      <c r="B124" s="178" t="s">
        <v>304</v>
      </c>
      <c r="C124" s="142">
        <v>100</v>
      </c>
      <c r="D124" s="340">
        <f>D125</f>
        <v>7959.22</v>
      </c>
      <c r="E124" s="340">
        <f t="shared" si="31"/>
        <v>0</v>
      </c>
      <c r="F124" s="340">
        <f t="shared" si="31"/>
        <v>0</v>
      </c>
    </row>
    <row r="125" spans="1:6" ht="27.6" customHeight="1" x14ac:dyDescent="0.25">
      <c r="A125" s="341" t="s">
        <v>13</v>
      </c>
      <c r="B125" s="178" t="s">
        <v>304</v>
      </c>
      <c r="C125" s="142">
        <v>120</v>
      </c>
      <c r="D125" s="340">
        <f>7959.22</f>
        <v>7959.22</v>
      </c>
      <c r="E125" s="337">
        <v>0</v>
      </c>
      <c r="F125" s="337">
        <v>0</v>
      </c>
    </row>
    <row r="126" spans="1:6" ht="53.25" customHeight="1" x14ac:dyDescent="0.25">
      <c r="A126" s="41" t="s">
        <v>88</v>
      </c>
      <c r="B126" s="25" t="s">
        <v>92</v>
      </c>
      <c r="C126" s="26"/>
      <c r="D126" s="218">
        <f>D127+D129</f>
        <v>330100</v>
      </c>
      <c r="E126" s="218">
        <f>E127+E129</f>
        <v>330100</v>
      </c>
      <c r="F126" s="218">
        <f>F127+F129</f>
        <v>330100</v>
      </c>
    </row>
    <row r="127" spans="1:6" ht="42.75" customHeight="1" x14ac:dyDescent="0.25">
      <c r="A127" s="39" t="s">
        <v>87</v>
      </c>
      <c r="B127" s="27" t="s">
        <v>92</v>
      </c>
      <c r="C127" s="28">
        <v>100</v>
      </c>
      <c r="D127" s="219">
        <f>D128</f>
        <v>315032.76</v>
      </c>
      <c r="E127" s="219">
        <f t="shared" ref="E127:F127" si="32">E128</f>
        <v>311400</v>
      </c>
      <c r="F127" s="219">
        <f t="shared" si="32"/>
        <v>311400</v>
      </c>
    </row>
    <row r="128" spans="1:6" ht="20.25" customHeight="1" x14ac:dyDescent="0.25">
      <c r="A128" s="39" t="s">
        <v>13</v>
      </c>
      <c r="B128" s="27" t="s">
        <v>92</v>
      </c>
      <c r="C128" s="28">
        <v>120</v>
      </c>
      <c r="D128" s="219">
        <f>311400+3632.76</f>
        <v>315032.76</v>
      </c>
      <c r="E128" s="219">
        <f t="shared" ref="E128:F128" si="33">311400</f>
        <v>311400</v>
      </c>
      <c r="F128" s="219">
        <f t="shared" si="33"/>
        <v>311400</v>
      </c>
    </row>
    <row r="129" spans="1:6" ht="17.25" customHeight="1" x14ac:dyDescent="0.25">
      <c r="A129" s="33" t="s">
        <v>65</v>
      </c>
      <c r="B129" s="27" t="s">
        <v>92</v>
      </c>
      <c r="C129" s="28">
        <v>200</v>
      </c>
      <c r="D129" s="219">
        <f>D130</f>
        <v>15067.24</v>
      </c>
      <c r="E129" s="219">
        <f>E130</f>
        <v>18700</v>
      </c>
      <c r="F129" s="219">
        <f>F130</f>
        <v>18700</v>
      </c>
    </row>
    <row r="130" spans="1:6" ht="26.25" customHeight="1" x14ac:dyDescent="0.25">
      <c r="A130" s="19" t="s">
        <v>28</v>
      </c>
      <c r="B130" s="27" t="s">
        <v>92</v>
      </c>
      <c r="C130" s="28">
        <v>240</v>
      </c>
      <c r="D130" s="219">
        <f>18700-3632.76</f>
        <v>15067.24</v>
      </c>
      <c r="E130" s="219">
        <f>18700</f>
        <v>18700</v>
      </c>
      <c r="F130" s="219">
        <f>18700</f>
        <v>18700</v>
      </c>
    </row>
    <row r="131" spans="1:6" s="42" customFormat="1" ht="27" customHeight="1" x14ac:dyDescent="0.25">
      <c r="A131" s="41" t="s">
        <v>93</v>
      </c>
      <c r="B131" s="43" t="s">
        <v>94</v>
      </c>
      <c r="C131" s="43"/>
      <c r="D131" s="232">
        <f t="shared" ref="D131:F133" si="34">D132</f>
        <v>18000</v>
      </c>
      <c r="E131" s="232">
        <f t="shared" si="34"/>
        <v>18000</v>
      </c>
      <c r="F131" s="232">
        <f t="shared" si="34"/>
        <v>18000</v>
      </c>
    </row>
    <row r="132" spans="1:6" ht="18.75" customHeight="1" x14ac:dyDescent="0.25">
      <c r="A132" s="39" t="s">
        <v>93</v>
      </c>
      <c r="B132" s="44" t="s">
        <v>95</v>
      </c>
      <c r="C132" s="44"/>
      <c r="D132" s="233">
        <f t="shared" si="34"/>
        <v>18000</v>
      </c>
      <c r="E132" s="233">
        <f t="shared" si="34"/>
        <v>18000</v>
      </c>
      <c r="F132" s="233">
        <f t="shared" si="34"/>
        <v>18000</v>
      </c>
    </row>
    <row r="133" spans="1:6" ht="15.75" customHeight="1" x14ac:dyDescent="0.25">
      <c r="A133" s="33" t="s">
        <v>14</v>
      </c>
      <c r="B133" s="44" t="s">
        <v>95</v>
      </c>
      <c r="C133" s="44">
        <v>800</v>
      </c>
      <c r="D133" s="233">
        <f t="shared" si="34"/>
        <v>18000</v>
      </c>
      <c r="E133" s="233">
        <f t="shared" si="34"/>
        <v>18000</v>
      </c>
      <c r="F133" s="233">
        <f t="shared" si="34"/>
        <v>18000</v>
      </c>
    </row>
    <row r="134" spans="1:6" ht="15" customHeight="1" x14ac:dyDescent="0.25">
      <c r="A134" s="45" t="s">
        <v>24</v>
      </c>
      <c r="B134" s="44" t="s">
        <v>95</v>
      </c>
      <c r="C134" s="44">
        <v>870</v>
      </c>
      <c r="D134" s="233">
        <f>18000</f>
        <v>18000</v>
      </c>
      <c r="E134" s="233">
        <f>18000</f>
        <v>18000</v>
      </c>
      <c r="F134" s="233">
        <f>18000</f>
        <v>18000</v>
      </c>
    </row>
    <row r="135" spans="1:6" ht="17.25" customHeight="1" x14ac:dyDescent="0.25">
      <c r="A135" s="46" t="s">
        <v>96</v>
      </c>
      <c r="B135" s="36" t="s">
        <v>97</v>
      </c>
      <c r="C135" s="18"/>
      <c r="D135" s="232">
        <f>D136+D139</f>
        <v>142200</v>
      </c>
      <c r="E135" s="232">
        <f>E136+E139</f>
        <v>142200</v>
      </c>
      <c r="F135" s="232">
        <f>F136+F139</f>
        <v>142200</v>
      </c>
    </row>
    <row r="136" spans="1:6" ht="29.25" customHeight="1" x14ac:dyDescent="0.25">
      <c r="A136" s="17" t="s">
        <v>21</v>
      </c>
      <c r="B136" s="36" t="s">
        <v>151</v>
      </c>
      <c r="C136" s="18"/>
      <c r="D136" s="232">
        <f t="shared" ref="D136:F137" si="35">D137</f>
        <v>87500</v>
      </c>
      <c r="E136" s="232">
        <f t="shared" si="35"/>
        <v>87500</v>
      </c>
      <c r="F136" s="232">
        <f t="shared" si="35"/>
        <v>87500</v>
      </c>
    </row>
    <row r="137" spans="1:6" ht="17.25" customHeight="1" x14ac:dyDescent="0.25">
      <c r="A137" s="33" t="s">
        <v>65</v>
      </c>
      <c r="B137" s="40" t="s">
        <v>151</v>
      </c>
      <c r="C137" s="20">
        <v>200</v>
      </c>
      <c r="D137" s="233">
        <f t="shared" si="35"/>
        <v>87500</v>
      </c>
      <c r="E137" s="233">
        <f t="shared" si="35"/>
        <v>87500</v>
      </c>
      <c r="F137" s="233">
        <f t="shared" si="35"/>
        <v>87500</v>
      </c>
    </row>
    <row r="138" spans="1:6" ht="28.5" customHeight="1" x14ac:dyDescent="0.25">
      <c r="A138" s="19" t="s">
        <v>28</v>
      </c>
      <c r="B138" s="40" t="s">
        <v>151</v>
      </c>
      <c r="C138" s="20">
        <v>240</v>
      </c>
      <c r="D138" s="233">
        <f>87500</f>
        <v>87500</v>
      </c>
      <c r="E138" s="233">
        <f t="shared" ref="E138:F138" si="36">87500</f>
        <v>87500</v>
      </c>
      <c r="F138" s="233">
        <f t="shared" si="36"/>
        <v>87500</v>
      </c>
    </row>
    <row r="139" spans="1:6" ht="36.75" customHeight="1" x14ac:dyDescent="0.25">
      <c r="A139" s="47" t="s">
        <v>98</v>
      </c>
      <c r="B139" s="36" t="s">
        <v>99</v>
      </c>
      <c r="C139" s="48"/>
      <c r="D139" s="232">
        <f t="shared" ref="D139:F141" si="37">D140</f>
        <v>54700</v>
      </c>
      <c r="E139" s="232">
        <f t="shared" si="37"/>
        <v>54700</v>
      </c>
      <c r="F139" s="232">
        <f t="shared" si="37"/>
        <v>54700</v>
      </c>
    </row>
    <row r="140" spans="1:6" ht="53.25" customHeight="1" x14ac:dyDescent="0.25">
      <c r="A140" s="49" t="s">
        <v>100</v>
      </c>
      <c r="B140" s="40" t="s">
        <v>101</v>
      </c>
      <c r="C140" s="50"/>
      <c r="D140" s="233">
        <f t="shared" si="37"/>
        <v>54700</v>
      </c>
      <c r="E140" s="233">
        <f t="shared" si="37"/>
        <v>54700</v>
      </c>
      <c r="F140" s="233">
        <f t="shared" si="37"/>
        <v>54700</v>
      </c>
    </row>
    <row r="141" spans="1:6" ht="21.75" customHeight="1" x14ac:dyDescent="0.25">
      <c r="A141" s="33" t="s">
        <v>7</v>
      </c>
      <c r="B141" s="40" t="s">
        <v>102</v>
      </c>
      <c r="C141" s="20">
        <v>500</v>
      </c>
      <c r="D141" s="233">
        <f t="shared" si="37"/>
        <v>54700</v>
      </c>
      <c r="E141" s="233">
        <f t="shared" si="37"/>
        <v>54700</v>
      </c>
      <c r="F141" s="233">
        <f t="shared" si="37"/>
        <v>54700</v>
      </c>
    </row>
    <row r="142" spans="1:6" ht="21.75" customHeight="1" x14ac:dyDescent="0.25">
      <c r="A142" s="33" t="s">
        <v>17</v>
      </c>
      <c r="B142" s="40" t="s">
        <v>102</v>
      </c>
      <c r="C142" s="20">
        <v>540</v>
      </c>
      <c r="D142" s="233">
        <f>54700</f>
        <v>54700</v>
      </c>
      <c r="E142" s="233">
        <f>54700</f>
        <v>54700</v>
      </c>
      <c r="F142" s="233">
        <f>54700</f>
        <v>54700</v>
      </c>
    </row>
    <row r="143" spans="1:6" s="42" customFormat="1" ht="15" customHeight="1" x14ac:dyDescent="0.25">
      <c r="A143" s="51" t="s">
        <v>103</v>
      </c>
      <c r="B143" s="36" t="s">
        <v>104</v>
      </c>
      <c r="C143" s="48"/>
      <c r="D143" s="232">
        <f>D144+D155+D147+D150</f>
        <v>499054.62</v>
      </c>
      <c r="E143" s="232">
        <f t="shared" ref="E143:F143" si="38">E144+E155+E147+E150</f>
        <v>95000</v>
      </c>
      <c r="F143" s="232">
        <f t="shared" si="38"/>
        <v>95000</v>
      </c>
    </row>
    <row r="144" spans="1:6" ht="15" customHeight="1" x14ac:dyDescent="0.25">
      <c r="A144" s="52" t="s">
        <v>105</v>
      </c>
      <c r="B144" s="36" t="s">
        <v>106</v>
      </c>
      <c r="C144" s="48"/>
      <c r="D144" s="232">
        <f t="shared" ref="D144:F156" si="39">D145</f>
        <v>111120</v>
      </c>
      <c r="E144" s="232">
        <f t="shared" si="39"/>
        <v>95000</v>
      </c>
      <c r="F144" s="232">
        <f t="shared" si="39"/>
        <v>95000</v>
      </c>
    </row>
    <row r="145" spans="1:6" ht="15.75" customHeight="1" x14ac:dyDescent="0.25">
      <c r="A145" s="53" t="s">
        <v>65</v>
      </c>
      <c r="B145" s="40" t="s">
        <v>106</v>
      </c>
      <c r="C145" s="20">
        <v>200</v>
      </c>
      <c r="D145" s="233">
        <f>D146</f>
        <v>111120</v>
      </c>
      <c r="E145" s="233">
        <f t="shared" si="39"/>
        <v>95000</v>
      </c>
      <c r="F145" s="233">
        <f t="shared" si="39"/>
        <v>95000</v>
      </c>
    </row>
    <row r="146" spans="1:6" ht="27" customHeight="1" x14ac:dyDescent="0.25">
      <c r="A146" s="19" t="s">
        <v>28</v>
      </c>
      <c r="B146" s="20" t="s">
        <v>106</v>
      </c>
      <c r="C146" s="20">
        <v>240</v>
      </c>
      <c r="D146" s="233">
        <f>95000+5000+11120</f>
        <v>111120</v>
      </c>
      <c r="E146" s="233">
        <f t="shared" ref="E146:F146" si="40">95000</f>
        <v>95000</v>
      </c>
      <c r="F146" s="233">
        <f t="shared" si="40"/>
        <v>95000</v>
      </c>
    </row>
    <row r="147" spans="1:6" ht="19.149999999999999" customHeight="1" x14ac:dyDescent="0.25">
      <c r="A147" s="299" t="s">
        <v>281</v>
      </c>
      <c r="B147" s="105" t="s">
        <v>280</v>
      </c>
      <c r="C147" s="141"/>
      <c r="D147" s="232">
        <f>D148</f>
        <v>36175</v>
      </c>
      <c r="E147" s="232">
        <f t="shared" ref="E147:F148" si="41">E148</f>
        <v>0</v>
      </c>
      <c r="F147" s="232">
        <f t="shared" si="41"/>
        <v>0</v>
      </c>
    </row>
    <row r="148" spans="1:6" ht="16.899999999999999" customHeight="1" x14ac:dyDescent="0.25">
      <c r="A148" s="300" t="s">
        <v>65</v>
      </c>
      <c r="B148" s="106" t="s">
        <v>280</v>
      </c>
      <c r="C148" s="141">
        <v>200</v>
      </c>
      <c r="D148" s="233">
        <f>D149</f>
        <v>36175</v>
      </c>
      <c r="E148" s="233">
        <f t="shared" si="41"/>
        <v>0</v>
      </c>
      <c r="F148" s="233">
        <f t="shared" si="41"/>
        <v>0</v>
      </c>
    </row>
    <row r="149" spans="1:6" ht="27" customHeight="1" x14ac:dyDescent="0.25">
      <c r="A149" s="301" t="s">
        <v>28</v>
      </c>
      <c r="B149" s="106" t="s">
        <v>280</v>
      </c>
      <c r="C149" s="141">
        <v>240</v>
      </c>
      <c r="D149" s="233">
        <f>12175+17000+7000</f>
        <v>36175</v>
      </c>
      <c r="E149" s="233">
        <v>0</v>
      </c>
      <c r="F149" s="233">
        <v>0</v>
      </c>
    </row>
    <row r="150" spans="1:6" ht="27" customHeight="1" x14ac:dyDescent="0.25">
      <c r="A150" s="299" t="s">
        <v>283</v>
      </c>
      <c r="B150" s="105" t="s">
        <v>282</v>
      </c>
      <c r="C150" s="141"/>
      <c r="D150" s="232">
        <f>D153+D151</f>
        <v>242284</v>
      </c>
      <c r="E150" s="232">
        <f>E153</f>
        <v>0</v>
      </c>
      <c r="F150" s="232">
        <f>F153</f>
        <v>0</v>
      </c>
    </row>
    <row r="151" spans="1:6" ht="19.899999999999999" customHeight="1" x14ac:dyDescent="0.25">
      <c r="A151" s="300" t="s">
        <v>65</v>
      </c>
      <c r="B151" s="321" t="s">
        <v>282</v>
      </c>
      <c r="C151" s="141">
        <v>200</v>
      </c>
      <c r="D151" s="337">
        <f>D152</f>
        <v>3950</v>
      </c>
      <c r="E151" s="337">
        <f>E152</f>
        <v>0</v>
      </c>
      <c r="F151" s="337">
        <f t="shared" ref="E151:F153" si="42">F152</f>
        <v>0</v>
      </c>
    </row>
    <row r="152" spans="1:6" ht="27" customHeight="1" x14ac:dyDescent="0.25">
      <c r="A152" s="301" t="s">
        <v>28</v>
      </c>
      <c r="B152" s="321" t="s">
        <v>282</v>
      </c>
      <c r="C152" s="141">
        <v>240</v>
      </c>
      <c r="D152" s="337">
        <f>3950</f>
        <v>3950</v>
      </c>
      <c r="E152" s="337">
        <v>0</v>
      </c>
      <c r="F152" s="337">
        <v>0</v>
      </c>
    </row>
    <row r="153" spans="1:6" ht="20.45" customHeight="1" x14ac:dyDescent="0.25">
      <c r="A153" s="33" t="s">
        <v>14</v>
      </c>
      <c r="B153" s="106" t="s">
        <v>282</v>
      </c>
      <c r="C153" s="141">
        <v>800</v>
      </c>
      <c r="D153" s="233">
        <f>D154</f>
        <v>238334</v>
      </c>
      <c r="E153" s="233">
        <f t="shared" si="42"/>
        <v>0</v>
      </c>
      <c r="F153" s="233">
        <f t="shared" si="42"/>
        <v>0</v>
      </c>
    </row>
    <row r="154" spans="1:6" ht="20.45" customHeight="1" x14ac:dyDescent="0.25">
      <c r="A154" s="19" t="s">
        <v>15</v>
      </c>
      <c r="B154" s="106" t="s">
        <v>282</v>
      </c>
      <c r="C154" s="141">
        <v>850</v>
      </c>
      <c r="D154" s="233">
        <f>60000+178334</f>
        <v>238334</v>
      </c>
      <c r="E154" s="233">
        <v>0</v>
      </c>
      <c r="F154" s="233">
        <v>0</v>
      </c>
    </row>
    <row r="155" spans="1:6" ht="37.15" customHeight="1" x14ac:dyDescent="0.25">
      <c r="A155" s="286" t="s">
        <v>262</v>
      </c>
      <c r="B155" s="285" t="s">
        <v>285</v>
      </c>
      <c r="C155" s="48"/>
      <c r="D155" s="232">
        <f t="shared" si="39"/>
        <v>109475.62</v>
      </c>
      <c r="E155" s="232">
        <f t="shared" si="39"/>
        <v>0</v>
      </c>
      <c r="F155" s="232">
        <f t="shared" si="39"/>
        <v>0</v>
      </c>
    </row>
    <row r="156" spans="1:6" ht="15.75" customHeight="1" x14ac:dyDescent="0.25">
      <c r="A156" s="53" t="s">
        <v>65</v>
      </c>
      <c r="B156" s="40" t="s">
        <v>285</v>
      </c>
      <c r="C156" s="20">
        <v>800</v>
      </c>
      <c r="D156" s="233">
        <f>D157</f>
        <v>109475.62</v>
      </c>
      <c r="E156" s="233">
        <f t="shared" si="39"/>
        <v>0</v>
      </c>
      <c r="F156" s="233">
        <f t="shared" si="39"/>
        <v>0</v>
      </c>
    </row>
    <row r="157" spans="1:6" ht="27" customHeight="1" x14ac:dyDescent="0.25">
      <c r="A157" s="19" t="s">
        <v>28</v>
      </c>
      <c r="B157" s="40" t="s">
        <v>285</v>
      </c>
      <c r="C157" s="20">
        <v>830</v>
      </c>
      <c r="D157" s="233">
        <f>83179.14+26296.48</f>
        <v>109475.62</v>
      </c>
      <c r="E157" s="233">
        <v>0</v>
      </c>
      <c r="F157" s="233">
        <v>0</v>
      </c>
    </row>
    <row r="158" spans="1:6" ht="19.899999999999999" hidden="1" customHeight="1" x14ac:dyDescent="0.25">
      <c r="A158" s="107"/>
      <c r="B158" s="106"/>
      <c r="C158" s="82"/>
      <c r="D158" s="233"/>
      <c r="E158" s="233"/>
      <c r="F158" s="233"/>
    </row>
    <row r="159" spans="1:6" s="42" customFormat="1" ht="18.75" customHeight="1" x14ac:dyDescent="0.25">
      <c r="A159" s="54" t="s">
        <v>107</v>
      </c>
      <c r="B159" s="36" t="s">
        <v>108</v>
      </c>
      <c r="C159" s="18"/>
      <c r="D159" s="232">
        <f>D160</f>
        <v>504651.50999999995</v>
      </c>
      <c r="E159" s="232">
        <f>E160</f>
        <v>514066.45</v>
      </c>
      <c r="F159" s="232">
        <f>F160</f>
        <v>532953.05000000005</v>
      </c>
    </row>
    <row r="160" spans="1:6" ht="24.75" customHeight="1" x14ac:dyDescent="0.25">
      <c r="A160" s="55" t="s">
        <v>51</v>
      </c>
      <c r="B160" s="36" t="s">
        <v>109</v>
      </c>
      <c r="C160" s="18"/>
      <c r="D160" s="232">
        <f>D161+D163</f>
        <v>504651.50999999995</v>
      </c>
      <c r="E160" s="232">
        <f>E161+E163</f>
        <v>514066.45</v>
      </c>
      <c r="F160" s="232">
        <f>F161+F163</f>
        <v>532953.05000000005</v>
      </c>
    </row>
    <row r="161" spans="1:6" ht="40.5" customHeight="1" x14ac:dyDescent="0.25">
      <c r="A161" s="39" t="s">
        <v>87</v>
      </c>
      <c r="B161" s="40" t="s">
        <v>109</v>
      </c>
      <c r="C161" s="20">
        <v>100</v>
      </c>
      <c r="D161" s="233">
        <f>D162</f>
        <v>496547.02999999997</v>
      </c>
      <c r="E161" s="233">
        <f>E162</f>
        <v>504466.45</v>
      </c>
      <c r="F161" s="233">
        <f>F162</f>
        <v>522969.05</v>
      </c>
    </row>
    <row r="162" spans="1:6" ht="21" customHeight="1" x14ac:dyDescent="0.25">
      <c r="A162" s="39" t="s">
        <v>13</v>
      </c>
      <c r="B162" s="40" t="s">
        <v>109</v>
      </c>
      <c r="C162" s="20">
        <v>120</v>
      </c>
      <c r="D162" s="233">
        <f>487846.76+7574.75-143.33-500+1768.85</f>
        <v>496547.02999999997</v>
      </c>
      <c r="E162" s="233">
        <f>504466.45</f>
        <v>504466.45</v>
      </c>
      <c r="F162" s="233">
        <f>522969.05</f>
        <v>522969.05</v>
      </c>
    </row>
    <row r="163" spans="1:6" ht="15.75" customHeight="1" x14ac:dyDescent="0.25">
      <c r="A163" s="53" t="s">
        <v>65</v>
      </c>
      <c r="B163" s="40" t="s">
        <v>109</v>
      </c>
      <c r="C163" s="20">
        <v>200</v>
      </c>
      <c r="D163" s="233">
        <f>D164</f>
        <v>8104.48</v>
      </c>
      <c r="E163" s="233">
        <f>E164</f>
        <v>9600</v>
      </c>
      <c r="F163" s="233">
        <f>F164</f>
        <v>9984</v>
      </c>
    </row>
    <row r="164" spans="1:6" ht="27.75" customHeight="1" x14ac:dyDescent="0.25">
      <c r="A164" s="19" t="s">
        <v>28</v>
      </c>
      <c r="B164" s="40" t="s">
        <v>109</v>
      </c>
      <c r="C164" s="20">
        <v>240</v>
      </c>
      <c r="D164" s="233">
        <f>9230+143.33+500-1768.85</f>
        <v>8104.48</v>
      </c>
      <c r="E164" s="233">
        <f>9600</f>
        <v>9600</v>
      </c>
      <c r="F164" s="233">
        <v>9984</v>
      </c>
    </row>
    <row r="165" spans="1:6" ht="27.75" customHeight="1" x14ac:dyDescent="0.25">
      <c r="A165" s="17" t="s">
        <v>194</v>
      </c>
      <c r="B165" s="122" t="s">
        <v>196</v>
      </c>
      <c r="C165" s="58"/>
      <c r="D165" s="234">
        <f t="shared" ref="D165:E167" si="43">D166</f>
        <v>67175</v>
      </c>
      <c r="E165" s="234">
        <f t="shared" si="43"/>
        <v>0</v>
      </c>
      <c r="F165" s="234">
        <f t="shared" ref="F165:F167" si="44">F166</f>
        <v>0</v>
      </c>
    </row>
    <row r="166" spans="1:6" ht="27.75" customHeight="1" x14ac:dyDescent="0.25">
      <c r="A166" s="17" t="s">
        <v>195</v>
      </c>
      <c r="B166" s="122" t="s">
        <v>197</v>
      </c>
      <c r="C166" s="58"/>
      <c r="D166" s="234">
        <f t="shared" si="43"/>
        <v>67175</v>
      </c>
      <c r="E166" s="234">
        <f t="shared" si="43"/>
        <v>0</v>
      </c>
      <c r="F166" s="234">
        <f t="shared" si="44"/>
        <v>0</v>
      </c>
    </row>
    <row r="167" spans="1:6" ht="27.75" customHeight="1" x14ac:dyDescent="0.25">
      <c r="A167" s="19" t="s">
        <v>65</v>
      </c>
      <c r="B167" s="120" t="s">
        <v>197</v>
      </c>
      <c r="C167" s="121">
        <v>200</v>
      </c>
      <c r="D167" s="235">
        <f t="shared" si="43"/>
        <v>67175</v>
      </c>
      <c r="E167" s="235">
        <f t="shared" si="43"/>
        <v>0</v>
      </c>
      <c r="F167" s="235">
        <f t="shared" si="44"/>
        <v>0</v>
      </c>
    </row>
    <row r="168" spans="1:6" ht="27.75" customHeight="1" x14ac:dyDescent="0.25">
      <c r="A168" s="19" t="s">
        <v>28</v>
      </c>
      <c r="B168" s="120" t="s">
        <v>197</v>
      </c>
      <c r="C168" s="121">
        <v>240</v>
      </c>
      <c r="D168" s="235">
        <f>67175</f>
        <v>67175</v>
      </c>
      <c r="E168" s="235">
        <v>0</v>
      </c>
      <c r="F168" s="235">
        <v>0</v>
      </c>
    </row>
    <row r="169" spans="1:6" ht="19.899999999999999" customHeight="1" x14ac:dyDescent="0.25">
      <c r="A169" s="110" t="s">
        <v>245</v>
      </c>
      <c r="B169" s="172" t="s">
        <v>246</v>
      </c>
      <c r="C169" s="121"/>
      <c r="D169" s="234">
        <f>D170</f>
        <v>200000</v>
      </c>
      <c r="E169" s="234">
        <f t="shared" ref="E169:F169" si="45">E170</f>
        <v>0</v>
      </c>
      <c r="F169" s="234">
        <f t="shared" si="45"/>
        <v>0</v>
      </c>
    </row>
    <row r="170" spans="1:6" ht="22.9" customHeight="1" x14ac:dyDescent="0.25">
      <c r="A170" s="110" t="s">
        <v>240</v>
      </c>
      <c r="B170" s="172" t="s">
        <v>247</v>
      </c>
      <c r="C170" s="108"/>
      <c r="D170" s="150">
        <f>D174+D177+D171+D180</f>
        <v>200000</v>
      </c>
      <c r="E170" s="150">
        <f>E174+E177+E171</f>
        <v>0</v>
      </c>
      <c r="F170" s="150">
        <f>F174+F177+F171</f>
        <v>0</v>
      </c>
    </row>
    <row r="171" spans="1:6" ht="64.900000000000006" hidden="1" customHeight="1" x14ac:dyDescent="0.25">
      <c r="A171" s="276" t="s">
        <v>249</v>
      </c>
      <c r="B171" s="172" t="s">
        <v>248</v>
      </c>
      <c r="C171" s="172"/>
      <c r="D171" s="135">
        <f>D172</f>
        <v>0</v>
      </c>
      <c r="E171" s="135">
        <f t="shared" ref="E171:F172" si="46">E172</f>
        <v>0</v>
      </c>
      <c r="F171" s="135">
        <f t="shared" si="46"/>
        <v>0</v>
      </c>
    </row>
    <row r="172" spans="1:6" ht="18.600000000000001" hidden="1" customHeight="1" x14ac:dyDescent="0.25">
      <c r="A172" s="277" t="s">
        <v>65</v>
      </c>
      <c r="B172" s="108" t="s">
        <v>248</v>
      </c>
      <c r="C172" s="108">
        <v>200</v>
      </c>
      <c r="D172" s="136">
        <f>D173</f>
        <v>0</v>
      </c>
      <c r="E172" s="136">
        <f t="shared" si="46"/>
        <v>0</v>
      </c>
      <c r="F172" s="136">
        <f t="shared" si="46"/>
        <v>0</v>
      </c>
    </row>
    <row r="173" spans="1:6" ht="27.75" hidden="1" customHeight="1" x14ac:dyDescent="0.25">
      <c r="A173" s="277" t="s">
        <v>28</v>
      </c>
      <c r="B173" s="108" t="s">
        <v>248</v>
      </c>
      <c r="C173" s="108">
        <v>240</v>
      </c>
      <c r="D173" s="136">
        <v>0</v>
      </c>
      <c r="E173" s="136">
        <v>0</v>
      </c>
      <c r="F173" s="136">
        <v>0</v>
      </c>
    </row>
    <row r="174" spans="1:6" ht="26.45" hidden="1" customHeight="1" x14ac:dyDescent="0.25">
      <c r="A174" s="276" t="s">
        <v>241</v>
      </c>
      <c r="B174" s="172" t="s">
        <v>238</v>
      </c>
      <c r="C174" s="172"/>
      <c r="D174" s="135">
        <f>D175</f>
        <v>0</v>
      </c>
      <c r="E174" s="135">
        <f t="shared" ref="E174:F175" si="47">E175</f>
        <v>0</v>
      </c>
      <c r="F174" s="135">
        <f t="shared" si="47"/>
        <v>0</v>
      </c>
    </row>
    <row r="175" spans="1:6" ht="18.600000000000001" hidden="1" customHeight="1" x14ac:dyDescent="0.25">
      <c r="A175" s="277" t="s">
        <v>65</v>
      </c>
      <c r="B175" s="108" t="s">
        <v>238</v>
      </c>
      <c r="C175" s="108">
        <v>200</v>
      </c>
      <c r="D175" s="136">
        <f>D176</f>
        <v>0</v>
      </c>
      <c r="E175" s="136">
        <f t="shared" si="47"/>
        <v>0</v>
      </c>
      <c r="F175" s="136">
        <f t="shared" si="47"/>
        <v>0</v>
      </c>
    </row>
    <row r="176" spans="1:6" ht="27.75" hidden="1" customHeight="1" x14ac:dyDescent="0.25">
      <c r="A176" s="277" t="s">
        <v>28</v>
      </c>
      <c r="B176" s="108" t="s">
        <v>238</v>
      </c>
      <c r="C176" s="108">
        <v>240</v>
      </c>
      <c r="D176" s="136">
        <v>0</v>
      </c>
      <c r="E176" s="136">
        <v>0</v>
      </c>
      <c r="F176" s="136">
        <v>0</v>
      </c>
    </row>
    <row r="177" spans="1:6" ht="27.75" hidden="1" customHeight="1" x14ac:dyDescent="0.25">
      <c r="A177" s="276" t="s">
        <v>243</v>
      </c>
      <c r="B177" s="172" t="s">
        <v>242</v>
      </c>
      <c r="C177" s="172"/>
      <c r="D177" s="135">
        <f>D178</f>
        <v>0</v>
      </c>
      <c r="E177" s="135">
        <f t="shared" ref="E177:F178" si="48">E178</f>
        <v>0</v>
      </c>
      <c r="F177" s="135">
        <f t="shared" si="48"/>
        <v>0</v>
      </c>
    </row>
    <row r="178" spans="1:6" ht="27.75" hidden="1" customHeight="1" x14ac:dyDescent="0.25">
      <c r="A178" s="277" t="s">
        <v>65</v>
      </c>
      <c r="B178" s="108" t="s">
        <v>242</v>
      </c>
      <c r="C178" s="108">
        <v>200</v>
      </c>
      <c r="D178" s="136">
        <f>D179</f>
        <v>0</v>
      </c>
      <c r="E178" s="136">
        <f t="shared" si="48"/>
        <v>0</v>
      </c>
      <c r="F178" s="136">
        <f t="shared" si="48"/>
        <v>0</v>
      </c>
    </row>
    <row r="179" spans="1:6" ht="27.75" hidden="1" customHeight="1" x14ac:dyDescent="0.25">
      <c r="A179" s="277" t="s">
        <v>28</v>
      </c>
      <c r="B179" s="108" t="s">
        <v>242</v>
      </c>
      <c r="C179" s="108">
        <v>240</v>
      </c>
      <c r="D179" s="136">
        <v>0</v>
      </c>
      <c r="E179" s="136">
        <v>0</v>
      </c>
      <c r="F179" s="136">
        <v>0</v>
      </c>
    </row>
    <row r="180" spans="1:6" ht="36" customHeight="1" x14ac:dyDescent="0.25">
      <c r="A180" s="276" t="s">
        <v>287</v>
      </c>
      <c r="B180" s="172" t="s">
        <v>286</v>
      </c>
      <c r="C180" s="172"/>
      <c r="D180" s="305">
        <f>D181</f>
        <v>200000</v>
      </c>
      <c r="E180" s="305">
        <f t="shared" ref="E180:F181" si="49">E181</f>
        <v>0</v>
      </c>
      <c r="F180" s="305">
        <f t="shared" si="49"/>
        <v>0</v>
      </c>
    </row>
    <row r="181" spans="1:6" ht="27.75" customHeight="1" x14ac:dyDescent="0.25">
      <c r="A181" s="277" t="s">
        <v>65</v>
      </c>
      <c r="B181" s="108" t="s">
        <v>286</v>
      </c>
      <c r="C181" s="108">
        <v>200</v>
      </c>
      <c r="D181" s="304">
        <f>D182</f>
        <v>200000</v>
      </c>
      <c r="E181" s="304">
        <f t="shared" si="49"/>
        <v>0</v>
      </c>
      <c r="F181" s="304">
        <f t="shared" si="49"/>
        <v>0</v>
      </c>
    </row>
    <row r="182" spans="1:6" ht="27.75" customHeight="1" x14ac:dyDescent="0.25">
      <c r="A182" s="277" t="s">
        <v>28</v>
      </c>
      <c r="B182" s="108" t="s">
        <v>286</v>
      </c>
      <c r="C182" s="108">
        <v>240</v>
      </c>
      <c r="D182" s="304">
        <f>25000+15000+150000+10000</f>
        <v>200000</v>
      </c>
      <c r="E182" s="304">
        <v>0</v>
      </c>
      <c r="F182" s="304">
        <v>0</v>
      </c>
    </row>
    <row r="183" spans="1:6" s="42" customFormat="1" ht="21.75" customHeight="1" x14ac:dyDescent="0.25">
      <c r="A183" s="56" t="s">
        <v>110</v>
      </c>
      <c r="B183" s="57" t="s">
        <v>111</v>
      </c>
      <c r="C183" s="58"/>
      <c r="D183" s="236">
        <f>D184+D197++D211+D229+D202+D191+D194</f>
        <v>8167707.8100000005</v>
      </c>
      <c r="E183" s="236">
        <f t="shared" ref="E183:F183" si="50">E184+E197++E211+E229+E202+E191+E194</f>
        <v>7086794.5500000007</v>
      </c>
      <c r="F183" s="236">
        <f t="shared" si="50"/>
        <v>7004785.3500000006</v>
      </c>
    </row>
    <row r="184" spans="1:6" ht="24" customHeight="1" x14ac:dyDescent="0.25">
      <c r="A184" s="59" t="s">
        <v>112</v>
      </c>
      <c r="B184" s="36" t="s">
        <v>113</v>
      </c>
      <c r="C184" s="18"/>
      <c r="D184" s="216">
        <f>D185+D187+D189</f>
        <v>3264372.48</v>
      </c>
      <c r="E184" s="216">
        <f>E185+E187+E189</f>
        <v>2609630</v>
      </c>
      <c r="F184" s="216">
        <f>F185+F187+F189</f>
        <v>2458478.4500000002</v>
      </c>
    </row>
    <row r="185" spans="1:6" ht="44.25" customHeight="1" x14ac:dyDescent="0.25">
      <c r="A185" s="19" t="s">
        <v>12</v>
      </c>
      <c r="B185" s="60" t="s">
        <v>113</v>
      </c>
      <c r="C185" s="20">
        <v>100</v>
      </c>
      <c r="D185" s="217">
        <f>D186</f>
        <v>2412108</v>
      </c>
      <c r="E185" s="217">
        <f>E186</f>
        <v>2000630</v>
      </c>
      <c r="F185" s="217">
        <f>F186</f>
        <v>1909478.45</v>
      </c>
    </row>
    <row r="186" spans="1:6" ht="18" customHeight="1" x14ac:dyDescent="0.25">
      <c r="A186" s="19" t="s">
        <v>114</v>
      </c>
      <c r="B186" s="60" t="s">
        <v>113</v>
      </c>
      <c r="C186" s="20">
        <v>110</v>
      </c>
      <c r="D186" s="217">
        <f>2028633+99000+435000-150525</f>
        <v>2412108</v>
      </c>
      <c r="E186" s="217">
        <f>2000630</f>
        <v>2000630</v>
      </c>
      <c r="F186" s="217">
        <f>1909478.45</f>
        <v>1909478.45</v>
      </c>
    </row>
    <row r="187" spans="1:6" ht="18" customHeight="1" x14ac:dyDescent="0.25">
      <c r="A187" s="19" t="s">
        <v>65</v>
      </c>
      <c r="B187" s="60" t="s">
        <v>113</v>
      </c>
      <c r="C187" s="20">
        <v>200</v>
      </c>
      <c r="D187" s="217">
        <f>D188</f>
        <v>842264.48</v>
      </c>
      <c r="E187" s="217">
        <f>E188</f>
        <v>600000</v>
      </c>
      <c r="F187" s="217">
        <f>F188</f>
        <v>540000</v>
      </c>
    </row>
    <row r="188" spans="1:6" ht="27.75" customHeight="1" x14ac:dyDescent="0.25">
      <c r="A188" s="19" t="s">
        <v>28</v>
      </c>
      <c r="B188" s="60" t="s">
        <v>113</v>
      </c>
      <c r="C188" s="20">
        <v>240</v>
      </c>
      <c r="D188" s="217">
        <f>685400+156864.48</f>
        <v>842264.48</v>
      </c>
      <c r="E188" s="217">
        <f>600000</f>
        <v>600000</v>
      </c>
      <c r="F188" s="217">
        <f>540000</f>
        <v>540000</v>
      </c>
    </row>
    <row r="189" spans="1:6" ht="15.6" customHeight="1" x14ac:dyDescent="0.25">
      <c r="A189" s="33" t="s">
        <v>14</v>
      </c>
      <c r="B189" s="60" t="s">
        <v>113</v>
      </c>
      <c r="C189" s="20">
        <v>800</v>
      </c>
      <c r="D189" s="217">
        <f>D190</f>
        <v>10000</v>
      </c>
      <c r="E189" s="217">
        <f>E190</f>
        <v>9000</v>
      </c>
      <c r="F189" s="217">
        <f>F190</f>
        <v>9000</v>
      </c>
    </row>
    <row r="190" spans="1:6" ht="18.600000000000001" customHeight="1" x14ac:dyDescent="0.25">
      <c r="A190" s="19" t="s">
        <v>15</v>
      </c>
      <c r="B190" s="60" t="s">
        <v>113</v>
      </c>
      <c r="C190" s="20">
        <v>850</v>
      </c>
      <c r="D190" s="217">
        <f>9000+1000</f>
        <v>10000</v>
      </c>
      <c r="E190" s="217">
        <f>9000</f>
        <v>9000</v>
      </c>
      <c r="F190" s="217">
        <f>9000</f>
        <v>9000</v>
      </c>
    </row>
    <row r="191" spans="1:6" s="275" customFormat="1" ht="18.600000000000001" customHeight="1" x14ac:dyDescent="0.25">
      <c r="A191" s="312" t="s">
        <v>293</v>
      </c>
      <c r="B191" s="172" t="s">
        <v>294</v>
      </c>
      <c r="C191" s="105"/>
      <c r="D191" s="150">
        <f>D192</f>
        <v>209458.8</v>
      </c>
      <c r="E191" s="150">
        <f t="shared" ref="E191:F192" si="51">E192</f>
        <v>0</v>
      </c>
      <c r="F191" s="150">
        <f t="shared" si="51"/>
        <v>0</v>
      </c>
    </row>
    <row r="192" spans="1:6" s="275" customFormat="1" ht="18.600000000000001" customHeight="1" x14ac:dyDescent="0.25">
      <c r="A192" s="301" t="s">
        <v>65</v>
      </c>
      <c r="B192" s="108" t="s">
        <v>294</v>
      </c>
      <c r="C192" s="106">
        <v>200</v>
      </c>
      <c r="D192" s="136">
        <f>D193</f>
        <v>209458.8</v>
      </c>
      <c r="E192" s="136">
        <f t="shared" si="51"/>
        <v>0</v>
      </c>
      <c r="F192" s="136">
        <f t="shared" si="51"/>
        <v>0</v>
      </c>
    </row>
    <row r="193" spans="1:7" s="275" customFormat="1" ht="29.45" customHeight="1" x14ac:dyDescent="0.25">
      <c r="A193" s="301" t="s">
        <v>28</v>
      </c>
      <c r="B193" s="108" t="s">
        <v>294</v>
      </c>
      <c r="C193" s="106">
        <v>240</v>
      </c>
      <c r="D193" s="136">
        <f>209458.8</f>
        <v>209458.8</v>
      </c>
      <c r="E193" s="136">
        <v>0</v>
      </c>
      <c r="F193" s="136">
        <v>0</v>
      </c>
    </row>
    <row r="194" spans="1:7" s="328" customFormat="1" ht="29.45" customHeight="1" x14ac:dyDescent="0.25">
      <c r="A194" s="329" t="s">
        <v>297</v>
      </c>
      <c r="B194" s="332" t="s">
        <v>298</v>
      </c>
      <c r="C194" s="330"/>
      <c r="D194" s="336">
        <v>736970.27</v>
      </c>
      <c r="E194" s="336">
        <v>0</v>
      </c>
      <c r="F194" s="336">
        <v>0</v>
      </c>
    </row>
    <row r="195" spans="1:7" s="328" customFormat="1" ht="29.45" customHeight="1" x14ac:dyDescent="0.25">
      <c r="A195" s="334" t="s">
        <v>65</v>
      </c>
      <c r="B195" s="333" t="s">
        <v>298</v>
      </c>
      <c r="C195" s="335">
        <v>200</v>
      </c>
      <c r="D195" s="337">
        <v>736970.27</v>
      </c>
      <c r="E195" s="337">
        <v>0</v>
      </c>
      <c r="F195" s="337">
        <v>0</v>
      </c>
    </row>
    <row r="196" spans="1:7" s="328" customFormat="1" ht="29.45" customHeight="1" x14ac:dyDescent="0.25">
      <c r="A196" s="331" t="s">
        <v>28</v>
      </c>
      <c r="B196" s="333" t="s">
        <v>298</v>
      </c>
      <c r="C196" s="335">
        <v>240</v>
      </c>
      <c r="D196" s="337">
        <v>736970.27</v>
      </c>
      <c r="E196" s="337">
        <v>0</v>
      </c>
      <c r="F196" s="337">
        <v>0</v>
      </c>
    </row>
    <row r="197" spans="1:7" ht="48.75" customHeight="1" x14ac:dyDescent="0.25">
      <c r="A197" s="41" t="s">
        <v>88</v>
      </c>
      <c r="B197" s="61" t="s">
        <v>115</v>
      </c>
      <c r="C197" s="28"/>
      <c r="D197" s="223">
        <f>D198+D200</f>
        <v>1285700</v>
      </c>
      <c r="E197" s="223">
        <f>E198+E200</f>
        <v>1285700</v>
      </c>
      <c r="F197" s="223">
        <f>F198+F200</f>
        <v>1285700</v>
      </c>
    </row>
    <row r="198" spans="1:7" ht="36.75" customHeight="1" x14ac:dyDescent="0.25">
      <c r="A198" s="19" t="s">
        <v>12</v>
      </c>
      <c r="B198" s="62" t="s">
        <v>115</v>
      </c>
      <c r="C198" s="28">
        <v>100</v>
      </c>
      <c r="D198" s="237">
        <f>D199</f>
        <v>1264700</v>
      </c>
      <c r="E198" s="237">
        <f>E199</f>
        <v>1264700</v>
      </c>
      <c r="F198" s="237">
        <f>F199</f>
        <v>1264700</v>
      </c>
    </row>
    <row r="199" spans="1:7" ht="18" customHeight="1" x14ac:dyDescent="0.25">
      <c r="A199" s="19" t="s">
        <v>114</v>
      </c>
      <c r="B199" s="62" t="s">
        <v>115</v>
      </c>
      <c r="C199" s="28">
        <v>110</v>
      </c>
      <c r="D199" s="237">
        <f>1264700</f>
        <v>1264700</v>
      </c>
      <c r="E199" s="237">
        <f t="shared" ref="E199:F199" si="52">1264700</f>
        <v>1264700</v>
      </c>
      <c r="F199" s="237">
        <f t="shared" si="52"/>
        <v>1264700</v>
      </c>
      <c r="G199" s="72"/>
    </row>
    <row r="200" spans="1:7" ht="18" customHeight="1" x14ac:dyDescent="0.25">
      <c r="A200" s="19" t="s">
        <v>65</v>
      </c>
      <c r="B200" s="62" t="s">
        <v>115</v>
      </c>
      <c r="C200" s="28">
        <v>200</v>
      </c>
      <c r="D200" s="237">
        <f>D201</f>
        <v>21000</v>
      </c>
      <c r="E200" s="237">
        <f>E201</f>
        <v>21000</v>
      </c>
      <c r="F200" s="237">
        <f>F201</f>
        <v>21000</v>
      </c>
    </row>
    <row r="201" spans="1:7" ht="30.75" customHeight="1" x14ac:dyDescent="0.25">
      <c r="A201" s="19" t="s">
        <v>28</v>
      </c>
      <c r="B201" s="62" t="s">
        <v>115</v>
      </c>
      <c r="C201" s="28">
        <v>240</v>
      </c>
      <c r="D201" s="237">
        <f>21000</f>
        <v>21000</v>
      </c>
      <c r="E201" s="237">
        <f>21000</f>
        <v>21000</v>
      </c>
      <c r="F201" s="237">
        <f>21000</f>
        <v>21000</v>
      </c>
    </row>
    <row r="202" spans="1:7" x14ac:dyDescent="0.25">
      <c r="A202" s="38" t="s">
        <v>116</v>
      </c>
      <c r="B202" s="34" t="s">
        <v>117</v>
      </c>
      <c r="C202" s="18"/>
      <c r="D202" s="216">
        <f>D203+D208</f>
        <v>134639</v>
      </c>
      <c r="E202" s="216">
        <f t="shared" ref="E202:F202" si="53">E203+E208</f>
        <v>38857.65</v>
      </c>
      <c r="F202" s="216">
        <f t="shared" si="53"/>
        <v>20000</v>
      </c>
    </row>
    <row r="203" spans="1:7" x14ac:dyDescent="0.25">
      <c r="A203" s="17" t="s">
        <v>118</v>
      </c>
      <c r="B203" s="34" t="s">
        <v>119</v>
      </c>
      <c r="C203" s="18"/>
      <c r="D203" s="232">
        <f>D204+D206</f>
        <v>39739</v>
      </c>
      <c r="E203" s="232">
        <f t="shared" ref="E203:F203" si="54">E204+E206</f>
        <v>38857.65</v>
      </c>
      <c r="F203" s="232">
        <f t="shared" si="54"/>
        <v>20000</v>
      </c>
    </row>
    <row r="204" spans="1:7" ht="16.5" customHeight="1" x14ac:dyDescent="0.25">
      <c r="A204" s="39" t="s">
        <v>65</v>
      </c>
      <c r="B204" s="35" t="s">
        <v>120</v>
      </c>
      <c r="C204" s="44">
        <v>200</v>
      </c>
      <c r="D204" s="233">
        <f t="shared" ref="D204:F209" si="55">D205</f>
        <v>39739</v>
      </c>
      <c r="E204" s="233">
        <f t="shared" si="55"/>
        <v>38857.65</v>
      </c>
      <c r="F204" s="233">
        <f t="shared" si="55"/>
        <v>20000</v>
      </c>
    </row>
    <row r="205" spans="1:7" ht="27.75" customHeight="1" x14ac:dyDescent="0.25">
      <c r="A205" s="19" t="s">
        <v>28</v>
      </c>
      <c r="B205" s="35" t="s">
        <v>119</v>
      </c>
      <c r="C205" s="44">
        <v>240</v>
      </c>
      <c r="D205" s="233">
        <f>150000-78030-10000-13716-19795+11280</f>
        <v>39739</v>
      </c>
      <c r="E205" s="233">
        <f>50000-11142.35</f>
        <v>38857.65</v>
      </c>
      <c r="F205" s="233">
        <f>20000</f>
        <v>20000</v>
      </c>
    </row>
    <row r="206" spans="1:7" ht="17.45" hidden="1" customHeight="1" x14ac:dyDescent="0.25">
      <c r="A206" s="33" t="s">
        <v>14</v>
      </c>
      <c r="B206" s="35" t="s">
        <v>119</v>
      </c>
      <c r="C206" s="20">
        <v>800</v>
      </c>
      <c r="D206" s="233">
        <f t="shared" ref="D206:F206" si="56">D207</f>
        <v>0</v>
      </c>
      <c r="E206" s="233">
        <f t="shared" si="56"/>
        <v>0</v>
      </c>
      <c r="F206" s="233">
        <f t="shared" si="56"/>
        <v>0</v>
      </c>
    </row>
    <row r="207" spans="1:7" ht="20.45" hidden="1" customHeight="1" x14ac:dyDescent="0.25">
      <c r="A207" s="19" t="s">
        <v>15</v>
      </c>
      <c r="B207" s="35" t="s">
        <v>119</v>
      </c>
      <c r="C207" s="20">
        <v>850</v>
      </c>
      <c r="D207" s="233">
        <v>0</v>
      </c>
      <c r="E207" s="233">
        <v>0</v>
      </c>
      <c r="F207" s="233">
        <v>0</v>
      </c>
    </row>
    <row r="208" spans="1:7" ht="26.45" customHeight="1" x14ac:dyDescent="0.25">
      <c r="A208" s="17" t="s">
        <v>159</v>
      </c>
      <c r="B208" s="34" t="s">
        <v>168</v>
      </c>
      <c r="C208" s="18"/>
      <c r="D208" s="232">
        <f t="shared" si="55"/>
        <v>94900</v>
      </c>
      <c r="E208" s="232">
        <f t="shared" si="55"/>
        <v>0</v>
      </c>
      <c r="F208" s="232">
        <f t="shared" si="55"/>
        <v>0</v>
      </c>
    </row>
    <row r="209" spans="1:6" ht="22.9" customHeight="1" x14ac:dyDescent="0.25">
      <c r="A209" s="39" t="s">
        <v>65</v>
      </c>
      <c r="B209" s="35" t="s">
        <v>168</v>
      </c>
      <c r="C209" s="44">
        <v>200</v>
      </c>
      <c r="D209" s="233">
        <f t="shared" si="55"/>
        <v>94900</v>
      </c>
      <c r="E209" s="233">
        <f t="shared" si="55"/>
        <v>0</v>
      </c>
      <c r="F209" s="233">
        <f t="shared" si="55"/>
        <v>0</v>
      </c>
    </row>
    <row r="210" spans="1:6" ht="27.75" customHeight="1" x14ac:dyDescent="0.25">
      <c r="A210" s="19" t="s">
        <v>28</v>
      </c>
      <c r="B210" s="35" t="s">
        <v>168</v>
      </c>
      <c r="C210" s="44">
        <v>240</v>
      </c>
      <c r="D210" s="233">
        <f>94900</f>
        <v>94900</v>
      </c>
      <c r="E210" s="233">
        <v>0</v>
      </c>
      <c r="F210" s="233">
        <v>0</v>
      </c>
    </row>
    <row r="211" spans="1:6" ht="19.149999999999999" customHeight="1" x14ac:dyDescent="0.25">
      <c r="A211" s="38" t="s">
        <v>121</v>
      </c>
      <c r="B211" s="63" t="s">
        <v>122</v>
      </c>
      <c r="C211" s="44"/>
      <c r="D211" s="232">
        <f>D212+D218+D223+D226</f>
        <v>1560869.3</v>
      </c>
      <c r="E211" s="232">
        <f>E212+E218+E223+E226</f>
        <v>2124200</v>
      </c>
      <c r="F211" s="232">
        <f>F212+F218+F223+F226</f>
        <v>2212200</v>
      </c>
    </row>
    <row r="212" spans="1:6" ht="19.149999999999999" customHeight="1" x14ac:dyDescent="0.25">
      <c r="A212" s="17" t="s">
        <v>123</v>
      </c>
      <c r="B212" s="63" t="s">
        <v>124</v>
      </c>
      <c r="C212" s="44"/>
      <c r="D212" s="232">
        <f>D213+D215</f>
        <v>161644.30000000002</v>
      </c>
      <c r="E212" s="232">
        <f>E213+E215</f>
        <v>405100</v>
      </c>
      <c r="F212" s="232">
        <f>F213+F215</f>
        <v>414000</v>
      </c>
    </row>
    <row r="213" spans="1:6" ht="19.149999999999999" customHeight="1" x14ac:dyDescent="0.25">
      <c r="A213" s="39" t="s">
        <v>65</v>
      </c>
      <c r="B213" s="64" t="s">
        <v>124</v>
      </c>
      <c r="C213" s="44">
        <v>200</v>
      </c>
      <c r="D213" s="233">
        <f t="shared" ref="D213:F213" si="57">D214</f>
        <v>161644.30000000002</v>
      </c>
      <c r="E213" s="233">
        <f t="shared" si="57"/>
        <v>405100</v>
      </c>
      <c r="F213" s="233">
        <f t="shared" si="57"/>
        <v>414000</v>
      </c>
    </row>
    <row r="214" spans="1:6" ht="24.6" customHeight="1" x14ac:dyDescent="0.25">
      <c r="A214" s="19" t="s">
        <v>28</v>
      </c>
      <c r="B214" s="64" t="s">
        <v>124</v>
      </c>
      <c r="C214" s="44">
        <v>240</v>
      </c>
      <c r="D214" s="233">
        <f>498100-90000-88296.48-200-150000-7959.22</f>
        <v>161644.30000000002</v>
      </c>
      <c r="E214" s="233">
        <f>495100-90000</f>
        <v>405100</v>
      </c>
      <c r="F214" s="233">
        <f>504000-90000</f>
        <v>414000</v>
      </c>
    </row>
    <row r="215" spans="1:6" ht="15.6" hidden="1" customHeight="1" x14ac:dyDescent="0.25">
      <c r="A215" s="33" t="s">
        <v>14</v>
      </c>
      <c r="B215" s="64" t="s">
        <v>124</v>
      </c>
      <c r="C215" s="20">
        <v>800</v>
      </c>
      <c r="D215" s="217">
        <f>D217+D216</f>
        <v>0</v>
      </c>
      <c r="E215" s="217">
        <f t="shared" ref="E215:F215" si="58">E217+E216</f>
        <v>0</v>
      </c>
      <c r="F215" s="217">
        <f t="shared" si="58"/>
        <v>0</v>
      </c>
    </row>
    <row r="216" spans="1:6" ht="18.600000000000001" hidden="1" customHeight="1" x14ac:dyDescent="0.25">
      <c r="A216" s="19" t="s">
        <v>190</v>
      </c>
      <c r="B216" s="64" t="s">
        <v>124</v>
      </c>
      <c r="C216" s="20">
        <v>830</v>
      </c>
      <c r="D216" s="217">
        <v>0</v>
      </c>
      <c r="E216" s="217">
        <v>0</v>
      </c>
      <c r="F216" s="217">
        <v>0</v>
      </c>
    </row>
    <row r="217" spans="1:6" ht="18.600000000000001" hidden="1" customHeight="1" x14ac:dyDescent="0.25">
      <c r="A217" s="19" t="s">
        <v>15</v>
      </c>
      <c r="B217" s="64" t="s">
        <v>124</v>
      </c>
      <c r="C217" s="20">
        <v>850</v>
      </c>
      <c r="D217" s="217">
        <v>0</v>
      </c>
      <c r="E217" s="217">
        <v>0</v>
      </c>
      <c r="F217" s="217">
        <v>0</v>
      </c>
    </row>
    <row r="218" spans="1:6" ht="18" customHeight="1" x14ac:dyDescent="0.25">
      <c r="A218" s="17" t="s">
        <v>125</v>
      </c>
      <c r="B218" s="65" t="s">
        <v>126</v>
      </c>
      <c r="C218" s="18"/>
      <c r="D218" s="232">
        <f>D219+D221</f>
        <v>325315</v>
      </c>
      <c r="E218" s="232">
        <f t="shared" ref="E218:F218" si="59">E219+E221</f>
        <v>358200</v>
      </c>
      <c r="F218" s="232">
        <f t="shared" si="59"/>
        <v>358200</v>
      </c>
    </row>
    <row r="219" spans="1:6" ht="21.75" customHeight="1" x14ac:dyDescent="0.25">
      <c r="A219" s="19" t="s">
        <v>65</v>
      </c>
      <c r="B219" s="66" t="s">
        <v>126</v>
      </c>
      <c r="C219" s="20">
        <v>200</v>
      </c>
      <c r="D219" s="233">
        <f t="shared" ref="D219:F221" si="60">D220</f>
        <v>325315</v>
      </c>
      <c r="E219" s="233">
        <f t="shared" si="60"/>
        <v>358200</v>
      </c>
      <c r="F219" s="233">
        <f t="shared" si="60"/>
        <v>358200</v>
      </c>
    </row>
    <row r="220" spans="1:6" ht="27.75" customHeight="1" x14ac:dyDescent="0.25">
      <c r="A220" s="19" t="s">
        <v>28</v>
      </c>
      <c r="B220" s="66" t="s">
        <v>126</v>
      </c>
      <c r="C220" s="20">
        <v>240</v>
      </c>
      <c r="D220" s="233">
        <f>358200+122500-155385</f>
        <v>325315</v>
      </c>
      <c r="E220" s="233">
        <f t="shared" ref="E220:F220" si="61">358200</f>
        <v>358200</v>
      </c>
      <c r="F220" s="233">
        <f t="shared" si="61"/>
        <v>358200</v>
      </c>
    </row>
    <row r="221" spans="1:6" ht="17.45" hidden="1" customHeight="1" x14ac:dyDescent="0.25">
      <c r="A221" s="33" t="s">
        <v>14</v>
      </c>
      <c r="B221" s="66" t="s">
        <v>126</v>
      </c>
      <c r="C221" s="20">
        <v>800</v>
      </c>
      <c r="D221" s="233">
        <f t="shared" si="60"/>
        <v>0</v>
      </c>
      <c r="E221" s="233">
        <f t="shared" si="60"/>
        <v>0</v>
      </c>
      <c r="F221" s="233">
        <f t="shared" si="60"/>
        <v>0</v>
      </c>
    </row>
    <row r="222" spans="1:6" ht="20.45" hidden="1" customHeight="1" x14ac:dyDescent="0.25">
      <c r="A222" s="19" t="s">
        <v>15</v>
      </c>
      <c r="B222" s="66" t="s">
        <v>126</v>
      </c>
      <c r="C222" s="20">
        <v>850</v>
      </c>
      <c r="D222" s="233">
        <v>0</v>
      </c>
      <c r="E222" s="233">
        <v>0</v>
      </c>
      <c r="F222" s="233">
        <v>0</v>
      </c>
    </row>
    <row r="223" spans="1:6" s="42" customFormat="1" ht="25.5" customHeight="1" x14ac:dyDescent="0.25">
      <c r="A223" s="17" t="s">
        <v>127</v>
      </c>
      <c r="B223" s="36" t="s">
        <v>128</v>
      </c>
      <c r="C223" s="48"/>
      <c r="D223" s="216">
        <f t="shared" ref="D223:F224" si="62">D224</f>
        <v>1073910</v>
      </c>
      <c r="E223" s="216">
        <f t="shared" si="62"/>
        <v>1360900</v>
      </c>
      <c r="F223" s="216">
        <f t="shared" si="62"/>
        <v>1440000</v>
      </c>
    </row>
    <row r="224" spans="1:6" s="42" customFormat="1" ht="19.5" customHeight="1" x14ac:dyDescent="0.25">
      <c r="A224" s="39" t="s">
        <v>65</v>
      </c>
      <c r="B224" s="40" t="s">
        <v>129</v>
      </c>
      <c r="C224" s="20">
        <v>200</v>
      </c>
      <c r="D224" s="217">
        <f t="shared" si="62"/>
        <v>1073910</v>
      </c>
      <c r="E224" s="217">
        <f t="shared" si="62"/>
        <v>1360900</v>
      </c>
      <c r="F224" s="217">
        <f t="shared" si="62"/>
        <v>1440000</v>
      </c>
    </row>
    <row r="225" spans="1:9" s="42" customFormat="1" ht="29.25" customHeight="1" x14ac:dyDescent="0.25">
      <c r="A225" s="19" t="s">
        <v>28</v>
      </c>
      <c r="B225" s="40" t="s">
        <v>129</v>
      </c>
      <c r="C225" s="44">
        <v>240</v>
      </c>
      <c r="D225" s="217">
        <f>1183900+90000-202300+2310</f>
        <v>1073910</v>
      </c>
      <c r="E225" s="217">
        <f>1270900+90000</f>
        <v>1360900</v>
      </c>
      <c r="F225" s="217">
        <f>1350000+90000</f>
        <v>1440000</v>
      </c>
    </row>
    <row r="226" spans="1:9" s="42" customFormat="1" ht="29.25" hidden="1" customHeight="1" x14ac:dyDescent="0.25">
      <c r="A226" s="17" t="s">
        <v>130</v>
      </c>
      <c r="B226" s="36" t="s">
        <v>131</v>
      </c>
      <c r="C226" s="18"/>
      <c r="D226" s="216">
        <f t="shared" ref="D226:F227" si="63">D227</f>
        <v>0</v>
      </c>
      <c r="E226" s="216">
        <f t="shared" si="63"/>
        <v>0</v>
      </c>
      <c r="F226" s="216">
        <f t="shared" si="63"/>
        <v>0</v>
      </c>
    </row>
    <row r="227" spans="1:9" s="42" customFormat="1" ht="24" hidden="1" customHeight="1" x14ac:dyDescent="0.25">
      <c r="A227" s="33" t="s">
        <v>65</v>
      </c>
      <c r="B227" s="40" t="s">
        <v>131</v>
      </c>
      <c r="C227" s="44">
        <v>200</v>
      </c>
      <c r="D227" s="217">
        <f t="shared" si="63"/>
        <v>0</v>
      </c>
      <c r="E227" s="217">
        <f t="shared" si="63"/>
        <v>0</v>
      </c>
      <c r="F227" s="217">
        <f t="shared" si="63"/>
        <v>0</v>
      </c>
    </row>
    <row r="228" spans="1:9" s="42" customFormat="1" ht="29.25" hidden="1" customHeight="1" x14ac:dyDescent="0.25">
      <c r="A228" s="19" t="s">
        <v>28</v>
      </c>
      <c r="B228" s="40" t="s">
        <v>131</v>
      </c>
      <c r="C228" s="44">
        <v>240</v>
      </c>
      <c r="D228" s="217"/>
      <c r="E228" s="217">
        <v>0</v>
      </c>
      <c r="F228" s="217">
        <v>0</v>
      </c>
      <c r="G228" s="73" t="s">
        <v>152</v>
      </c>
      <c r="H228" s="8"/>
      <c r="I228" s="8"/>
    </row>
    <row r="229" spans="1:9" s="42" customFormat="1" ht="22.9" customHeight="1" x14ac:dyDescent="0.25">
      <c r="A229" s="129" t="s">
        <v>132</v>
      </c>
      <c r="B229" s="25" t="s">
        <v>133</v>
      </c>
      <c r="C229" s="26"/>
      <c r="D229" s="223">
        <f t="shared" ref="D229:F233" si="64">D230</f>
        <v>975697.96000000008</v>
      </c>
      <c r="E229" s="223">
        <f t="shared" si="64"/>
        <v>1028406.9</v>
      </c>
      <c r="F229" s="223">
        <f t="shared" si="64"/>
        <v>1028406.9</v>
      </c>
    </row>
    <row r="230" spans="1:9" s="42" customFormat="1" ht="61.5" customHeight="1" x14ac:dyDescent="0.25">
      <c r="A230" s="129" t="s">
        <v>77</v>
      </c>
      <c r="B230" s="25" t="s">
        <v>134</v>
      </c>
      <c r="C230" s="26"/>
      <c r="D230" s="223">
        <f>D231+D233</f>
        <v>975697.96000000008</v>
      </c>
      <c r="E230" s="223">
        <f>E231+E233</f>
        <v>1028406.9</v>
      </c>
      <c r="F230" s="223">
        <f>F231+F233</f>
        <v>1028406.9</v>
      </c>
    </row>
    <row r="231" spans="1:9" s="42" customFormat="1" ht="25.5" customHeight="1" x14ac:dyDescent="0.25">
      <c r="A231" s="130" t="s">
        <v>65</v>
      </c>
      <c r="B231" s="27" t="s">
        <v>134</v>
      </c>
      <c r="C231" s="28">
        <v>200</v>
      </c>
      <c r="D231" s="237">
        <f t="shared" si="64"/>
        <v>975697.96000000008</v>
      </c>
      <c r="E231" s="237">
        <f t="shared" si="64"/>
        <v>1028406.9</v>
      </c>
      <c r="F231" s="237">
        <f t="shared" si="64"/>
        <v>1028406.9</v>
      </c>
    </row>
    <row r="232" spans="1:9" s="42" customFormat="1" ht="25.5" customHeight="1" x14ac:dyDescent="0.25">
      <c r="A232" s="131" t="s">
        <v>28</v>
      </c>
      <c r="B232" s="27" t="s">
        <v>134</v>
      </c>
      <c r="C232" s="28">
        <v>240</v>
      </c>
      <c r="D232" s="237">
        <f>1028406.9-591502.64+536502.64-7708.94+10000</f>
        <v>975697.96000000008</v>
      </c>
      <c r="E232" s="237">
        <f t="shared" ref="E232:F232" si="65">1028406.9</f>
        <v>1028406.9</v>
      </c>
      <c r="F232" s="237">
        <f t="shared" si="65"/>
        <v>1028406.9</v>
      </c>
    </row>
    <row r="233" spans="1:9" s="42" customFormat="1" ht="20.45" hidden="1" customHeight="1" x14ac:dyDescent="0.25">
      <c r="A233" s="132" t="s">
        <v>14</v>
      </c>
      <c r="B233" s="27" t="s">
        <v>134</v>
      </c>
      <c r="C233" s="28">
        <v>800</v>
      </c>
      <c r="D233" s="237">
        <f t="shared" si="64"/>
        <v>0</v>
      </c>
      <c r="E233" s="237">
        <f t="shared" si="64"/>
        <v>0</v>
      </c>
      <c r="F233" s="237">
        <f t="shared" si="64"/>
        <v>0</v>
      </c>
    </row>
    <row r="234" spans="1:9" s="42" customFormat="1" ht="19.149999999999999" hidden="1" customHeight="1" x14ac:dyDescent="0.25">
      <c r="A234" s="132" t="s">
        <v>190</v>
      </c>
      <c r="B234" s="27" t="s">
        <v>134</v>
      </c>
      <c r="C234" s="28">
        <v>830</v>
      </c>
      <c r="D234" s="237">
        <v>0</v>
      </c>
      <c r="E234" s="237">
        <v>0</v>
      </c>
      <c r="F234" s="237">
        <v>0</v>
      </c>
    </row>
    <row r="235" spans="1:9" s="42" customFormat="1" x14ac:dyDescent="0.25">
      <c r="A235" s="38" t="s">
        <v>135</v>
      </c>
      <c r="B235" s="18" t="s">
        <v>136</v>
      </c>
      <c r="C235" s="18"/>
      <c r="D235" s="232">
        <f>D236+D239+D242</f>
        <v>37500</v>
      </c>
      <c r="E235" s="232">
        <f>E236+E239</f>
        <v>20000</v>
      </c>
      <c r="F235" s="232">
        <f>F236+F239</f>
        <v>20000</v>
      </c>
    </row>
    <row r="236" spans="1:9" x14ac:dyDescent="0.25">
      <c r="A236" s="38" t="s">
        <v>137</v>
      </c>
      <c r="B236" s="18" t="s">
        <v>138</v>
      </c>
      <c r="C236" s="18"/>
      <c r="D236" s="232">
        <f t="shared" ref="D236:F237" si="66">D237</f>
        <v>37500</v>
      </c>
      <c r="E236" s="232">
        <f t="shared" si="66"/>
        <v>20000</v>
      </c>
      <c r="F236" s="232">
        <f t="shared" si="66"/>
        <v>20000</v>
      </c>
    </row>
    <row r="237" spans="1:9" ht="19.5" customHeight="1" x14ac:dyDescent="0.25">
      <c r="A237" s="39" t="s">
        <v>65</v>
      </c>
      <c r="B237" s="20" t="s">
        <v>138</v>
      </c>
      <c r="C237" s="20">
        <v>200</v>
      </c>
      <c r="D237" s="233">
        <f t="shared" si="66"/>
        <v>37500</v>
      </c>
      <c r="E237" s="233">
        <f t="shared" si="66"/>
        <v>20000</v>
      </c>
      <c r="F237" s="233">
        <f t="shared" si="66"/>
        <v>20000</v>
      </c>
    </row>
    <row r="238" spans="1:9" ht="27.75" customHeight="1" x14ac:dyDescent="0.25">
      <c r="A238" s="19" t="s">
        <v>28</v>
      </c>
      <c r="B238" s="20" t="s">
        <v>138</v>
      </c>
      <c r="C238" s="20">
        <v>240</v>
      </c>
      <c r="D238" s="233">
        <f>37000+500</f>
        <v>37500</v>
      </c>
      <c r="E238" s="233">
        <f>20000</f>
        <v>20000</v>
      </c>
      <c r="F238" s="233">
        <f>20000</f>
        <v>20000</v>
      </c>
    </row>
    <row r="239" spans="1:9" hidden="1" x14ac:dyDescent="0.25">
      <c r="A239" s="38" t="s">
        <v>192</v>
      </c>
      <c r="B239" s="18" t="s">
        <v>193</v>
      </c>
      <c r="C239" s="18"/>
      <c r="D239" s="232">
        <f>D240</f>
        <v>0</v>
      </c>
      <c r="E239" s="232">
        <f t="shared" ref="E239:F243" si="67">E240</f>
        <v>0</v>
      </c>
      <c r="F239" s="232">
        <f t="shared" si="67"/>
        <v>0</v>
      </c>
    </row>
    <row r="240" spans="1:9" ht="19.5" hidden="1" customHeight="1" x14ac:dyDescent="0.25">
      <c r="A240" s="39" t="s">
        <v>65</v>
      </c>
      <c r="B240" s="20" t="s">
        <v>193</v>
      </c>
      <c r="C240" s="20">
        <v>200</v>
      </c>
      <c r="D240" s="233">
        <f>D241</f>
        <v>0</v>
      </c>
      <c r="E240" s="233">
        <f t="shared" si="67"/>
        <v>0</v>
      </c>
      <c r="F240" s="233">
        <f t="shared" si="67"/>
        <v>0</v>
      </c>
    </row>
    <row r="241" spans="1:6" ht="27.75" hidden="1" customHeight="1" x14ac:dyDescent="0.25">
      <c r="A241" s="19" t="s">
        <v>28</v>
      </c>
      <c r="B241" s="20" t="s">
        <v>193</v>
      </c>
      <c r="C241" s="20">
        <v>240</v>
      </c>
      <c r="D241" s="233"/>
      <c r="E241" s="233">
        <v>0</v>
      </c>
      <c r="F241" s="233">
        <v>0</v>
      </c>
    </row>
    <row r="242" spans="1:6" hidden="1" x14ac:dyDescent="0.25">
      <c r="A242" s="38" t="s">
        <v>209</v>
      </c>
      <c r="B242" s="18" t="s">
        <v>210</v>
      </c>
      <c r="C242" s="18"/>
      <c r="D242" s="232">
        <f>D243</f>
        <v>0</v>
      </c>
      <c r="E242" s="232">
        <f t="shared" si="67"/>
        <v>0</v>
      </c>
      <c r="F242" s="232">
        <f t="shared" si="67"/>
        <v>0</v>
      </c>
    </row>
    <row r="243" spans="1:6" ht="19.5" hidden="1" customHeight="1" x14ac:dyDescent="0.25">
      <c r="A243" s="39" t="s">
        <v>65</v>
      </c>
      <c r="B243" s="20" t="s">
        <v>210</v>
      </c>
      <c r="C243" s="20">
        <v>200</v>
      </c>
      <c r="D243" s="233">
        <f>D244</f>
        <v>0</v>
      </c>
      <c r="E243" s="233">
        <f t="shared" si="67"/>
        <v>0</v>
      </c>
      <c r="F243" s="233">
        <f t="shared" si="67"/>
        <v>0</v>
      </c>
    </row>
    <row r="244" spans="1:6" ht="27.75" hidden="1" customHeight="1" x14ac:dyDescent="0.25">
      <c r="A244" s="19" t="s">
        <v>28</v>
      </c>
      <c r="B244" s="20" t="s">
        <v>210</v>
      </c>
      <c r="C244" s="20">
        <v>240</v>
      </c>
      <c r="D244" s="233"/>
      <c r="E244" s="233">
        <v>0</v>
      </c>
      <c r="F244" s="233">
        <v>0</v>
      </c>
    </row>
    <row r="245" spans="1:6" ht="20.45" customHeight="1" x14ac:dyDescent="0.25">
      <c r="A245" s="17" t="s">
        <v>273</v>
      </c>
      <c r="B245" s="18" t="s">
        <v>271</v>
      </c>
      <c r="C245" s="20"/>
      <c r="D245" s="232">
        <f>D246+D252+D255+D249</f>
        <v>319900</v>
      </c>
      <c r="E245" s="232">
        <f t="shared" ref="E245:F245" si="68">E246</f>
        <v>0</v>
      </c>
      <c r="F245" s="232">
        <f t="shared" si="68"/>
        <v>0</v>
      </c>
    </row>
    <row r="246" spans="1:6" ht="39.6" customHeight="1" x14ac:dyDescent="0.25">
      <c r="A246" s="17" t="s">
        <v>277</v>
      </c>
      <c r="B246" s="18" t="s">
        <v>278</v>
      </c>
      <c r="C246" s="18"/>
      <c r="D246" s="232">
        <f>D247</f>
        <v>6000</v>
      </c>
      <c r="E246" s="232">
        <f>E248</f>
        <v>0</v>
      </c>
      <c r="F246" s="232">
        <f>F248</f>
        <v>0</v>
      </c>
    </row>
    <row r="247" spans="1:6" ht="19.899999999999999" customHeight="1" x14ac:dyDescent="0.25">
      <c r="A247" s="39" t="s">
        <v>65</v>
      </c>
      <c r="B247" s="20" t="s">
        <v>278</v>
      </c>
      <c r="C247" s="20">
        <v>200</v>
      </c>
      <c r="D247" s="233">
        <f>D248</f>
        <v>6000</v>
      </c>
      <c r="E247" s="233">
        <f t="shared" ref="E247:F247" si="69">E248</f>
        <v>0</v>
      </c>
      <c r="F247" s="233">
        <f t="shared" si="69"/>
        <v>0</v>
      </c>
    </row>
    <row r="248" spans="1:6" ht="27.75" customHeight="1" x14ac:dyDescent="0.25">
      <c r="A248" s="19" t="s">
        <v>28</v>
      </c>
      <c r="B248" s="20" t="s">
        <v>278</v>
      </c>
      <c r="C248" s="20">
        <v>240</v>
      </c>
      <c r="D248" s="233">
        <f>6000</f>
        <v>6000</v>
      </c>
      <c r="E248" s="233">
        <v>0</v>
      </c>
      <c r="F248" s="233">
        <v>0</v>
      </c>
    </row>
    <row r="249" spans="1:6" ht="15" customHeight="1" x14ac:dyDescent="0.25">
      <c r="A249" s="329" t="s">
        <v>301</v>
      </c>
      <c r="B249" s="330" t="s">
        <v>302</v>
      </c>
      <c r="C249" s="330"/>
      <c r="D249" s="336">
        <f>D250</f>
        <v>25000</v>
      </c>
      <c r="E249" s="336">
        <f>E251</f>
        <v>0</v>
      </c>
      <c r="F249" s="336">
        <f>F251</f>
        <v>0</v>
      </c>
    </row>
    <row r="250" spans="1:6" ht="19.899999999999999" customHeight="1" x14ac:dyDescent="0.25">
      <c r="A250" s="334" t="s">
        <v>65</v>
      </c>
      <c r="B250" s="20" t="s">
        <v>302</v>
      </c>
      <c r="C250" s="20">
        <v>200</v>
      </c>
      <c r="D250" s="337">
        <f>D251</f>
        <v>25000</v>
      </c>
      <c r="E250" s="337">
        <f t="shared" ref="E250:F250" si="70">E251</f>
        <v>0</v>
      </c>
      <c r="F250" s="337">
        <f t="shared" si="70"/>
        <v>0</v>
      </c>
    </row>
    <row r="251" spans="1:6" ht="27.75" customHeight="1" x14ac:dyDescent="0.25">
      <c r="A251" s="331" t="s">
        <v>28</v>
      </c>
      <c r="B251" s="20" t="s">
        <v>302</v>
      </c>
      <c r="C251" s="20">
        <v>240</v>
      </c>
      <c r="D251" s="337">
        <f>25000</f>
        <v>25000</v>
      </c>
      <c r="E251" s="337">
        <v>0</v>
      </c>
      <c r="F251" s="337">
        <v>0</v>
      </c>
    </row>
    <row r="252" spans="1:6" ht="27.75" customHeight="1" x14ac:dyDescent="0.25">
      <c r="A252" s="17" t="s">
        <v>241</v>
      </c>
      <c r="B252" s="18" t="s">
        <v>284</v>
      </c>
      <c r="C252" s="191"/>
      <c r="D252" s="232">
        <f>D253</f>
        <v>250000</v>
      </c>
      <c r="E252" s="232">
        <f t="shared" ref="E252:F253" si="71">E253</f>
        <v>0</v>
      </c>
      <c r="F252" s="232">
        <f t="shared" si="71"/>
        <v>0</v>
      </c>
    </row>
    <row r="253" spans="1:6" ht="18" customHeight="1" x14ac:dyDescent="0.25">
      <c r="A253" s="19" t="s">
        <v>65</v>
      </c>
      <c r="B253" s="20" t="s">
        <v>284</v>
      </c>
      <c r="C253" s="142">
        <v>200</v>
      </c>
      <c r="D253" s="233">
        <f>D254</f>
        <v>250000</v>
      </c>
      <c r="E253" s="233">
        <f t="shared" si="71"/>
        <v>0</v>
      </c>
      <c r="F253" s="233">
        <f t="shared" si="71"/>
        <v>0</v>
      </c>
    </row>
    <row r="254" spans="1:6" ht="27.75" customHeight="1" x14ac:dyDescent="0.25">
      <c r="A254" s="19" t="s">
        <v>28</v>
      </c>
      <c r="B254" s="20" t="s">
        <v>284</v>
      </c>
      <c r="C254" s="142">
        <v>240</v>
      </c>
      <c r="D254" s="233">
        <f>250000</f>
        <v>250000</v>
      </c>
      <c r="E254" s="233">
        <v>0</v>
      </c>
      <c r="F254" s="233">
        <v>0</v>
      </c>
    </row>
    <row r="255" spans="1:6" ht="27.75" customHeight="1" x14ac:dyDescent="0.25">
      <c r="A255" s="17" t="s">
        <v>243</v>
      </c>
      <c r="B255" s="18" t="s">
        <v>288</v>
      </c>
      <c r="C255" s="191"/>
      <c r="D255" s="232">
        <f>D256</f>
        <v>38900</v>
      </c>
      <c r="E255" s="232">
        <f t="shared" ref="E255:F255" si="72">-E256</f>
        <v>0</v>
      </c>
      <c r="F255" s="232">
        <f t="shared" si="72"/>
        <v>0</v>
      </c>
    </row>
    <row r="256" spans="1:6" ht="16.149999999999999" customHeight="1" x14ac:dyDescent="0.25">
      <c r="A256" s="19" t="s">
        <v>65</v>
      </c>
      <c r="B256" s="20" t="s">
        <v>288</v>
      </c>
      <c r="C256" s="142">
        <v>200</v>
      </c>
      <c r="D256" s="233">
        <f>D257</f>
        <v>38900</v>
      </c>
      <c r="E256" s="233">
        <f t="shared" ref="E256:F256" si="73">E257</f>
        <v>0</v>
      </c>
      <c r="F256" s="233">
        <f t="shared" si="73"/>
        <v>0</v>
      </c>
    </row>
    <row r="257" spans="1:6" ht="27.75" customHeight="1" x14ac:dyDescent="0.25">
      <c r="A257" s="19" t="s">
        <v>28</v>
      </c>
      <c r="B257" s="20" t="s">
        <v>288</v>
      </c>
      <c r="C257" s="142">
        <v>240</v>
      </c>
      <c r="D257" s="233">
        <f>9500+29400</f>
        <v>38900</v>
      </c>
      <c r="E257" s="233"/>
      <c r="F257" s="233"/>
    </row>
    <row r="258" spans="1:6" s="42" customFormat="1" x14ac:dyDescent="0.25">
      <c r="A258" s="38" t="s">
        <v>139</v>
      </c>
      <c r="B258" s="36" t="s">
        <v>140</v>
      </c>
      <c r="C258" s="18"/>
      <c r="D258" s="238">
        <f>D262+D259</f>
        <v>180449.28000000003</v>
      </c>
      <c r="E258" s="238">
        <f t="shared" ref="E258:F258" si="74">E262+E259</f>
        <v>20000</v>
      </c>
      <c r="F258" s="238">
        <f t="shared" si="74"/>
        <v>20000</v>
      </c>
    </row>
    <row r="259" spans="1:6" s="42" customFormat="1" x14ac:dyDescent="0.25">
      <c r="A259" s="297" t="s">
        <v>264</v>
      </c>
      <c r="B259" s="289" t="s">
        <v>279</v>
      </c>
      <c r="C259" s="18"/>
      <c r="D259" s="238">
        <f>D260</f>
        <v>40000</v>
      </c>
      <c r="E259" s="238">
        <f t="shared" ref="E259:F260" si="75">E260</f>
        <v>0</v>
      </c>
      <c r="F259" s="238">
        <f t="shared" si="75"/>
        <v>0</v>
      </c>
    </row>
    <row r="260" spans="1:6" s="42" customFormat="1" x14ac:dyDescent="0.25">
      <c r="A260" s="296" t="s">
        <v>265</v>
      </c>
      <c r="B260" s="40" t="s">
        <v>279</v>
      </c>
      <c r="C260" s="20">
        <v>300</v>
      </c>
      <c r="D260" s="298">
        <f>D261</f>
        <v>40000</v>
      </c>
      <c r="E260" s="298">
        <f t="shared" si="75"/>
        <v>0</v>
      </c>
      <c r="F260" s="298">
        <f t="shared" si="75"/>
        <v>0</v>
      </c>
    </row>
    <row r="261" spans="1:6" s="42" customFormat="1" x14ac:dyDescent="0.25">
      <c r="A261" s="296" t="s">
        <v>266</v>
      </c>
      <c r="B261" s="40" t="s">
        <v>279</v>
      </c>
      <c r="C261" s="20">
        <v>310</v>
      </c>
      <c r="D261" s="298">
        <f>40000</f>
        <v>40000</v>
      </c>
      <c r="E261" s="298">
        <v>0</v>
      </c>
      <c r="F261" s="298">
        <v>0</v>
      </c>
    </row>
    <row r="262" spans="1:6" s="42" customFormat="1" x14ac:dyDescent="0.25">
      <c r="A262" s="38" t="s">
        <v>141</v>
      </c>
      <c r="B262" s="36" t="s">
        <v>142</v>
      </c>
      <c r="C262" s="18"/>
      <c r="D262" s="238">
        <f t="shared" ref="D262:F264" si="76">D263</f>
        <v>140449.28000000003</v>
      </c>
      <c r="E262" s="238">
        <f t="shared" si="76"/>
        <v>20000</v>
      </c>
      <c r="F262" s="238">
        <f t="shared" si="76"/>
        <v>20000</v>
      </c>
    </row>
    <row r="263" spans="1:6" x14ac:dyDescent="0.25">
      <c r="A263" s="67" t="s">
        <v>143</v>
      </c>
      <c r="B263" s="36" t="s">
        <v>144</v>
      </c>
      <c r="C263" s="18"/>
      <c r="D263" s="232">
        <f t="shared" si="76"/>
        <v>140449.28000000003</v>
      </c>
      <c r="E263" s="232">
        <f t="shared" si="76"/>
        <v>20000</v>
      </c>
      <c r="F263" s="232">
        <f t="shared" si="76"/>
        <v>20000</v>
      </c>
    </row>
    <row r="264" spans="1:6" ht="18" customHeight="1" x14ac:dyDescent="0.25">
      <c r="A264" s="39" t="s">
        <v>65</v>
      </c>
      <c r="B264" s="40" t="s">
        <v>144</v>
      </c>
      <c r="C264" s="20">
        <v>200</v>
      </c>
      <c r="D264" s="233">
        <f t="shared" si="76"/>
        <v>140449.28000000003</v>
      </c>
      <c r="E264" s="233">
        <f t="shared" si="76"/>
        <v>20000</v>
      </c>
      <c r="F264" s="233">
        <f t="shared" si="76"/>
        <v>20000</v>
      </c>
    </row>
    <row r="265" spans="1:6" ht="28.5" customHeight="1" x14ac:dyDescent="0.25">
      <c r="A265" s="19" t="s">
        <v>28</v>
      </c>
      <c r="B265" s="40" t="s">
        <v>144</v>
      </c>
      <c r="C265" s="20">
        <v>240</v>
      </c>
      <c r="D265" s="233">
        <f>40000+3000+4000+10000+1825+20065.29+10000+258.99+51300</f>
        <v>140449.28000000003</v>
      </c>
      <c r="E265" s="233">
        <f>20000</f>
        <v>20000</v>
      </c>
      <c r="F265" s="233">
        <f>20000</f>
        <v>20000</v>
      </c>
    </row>
    <row r="266" spans="1:6" s="42" customFormat="1" x14ac:dyDescent="0.25">
      <c r="A266" s="67" t="s">
        <v>145</v>
      </c>
      <c r="B266" s="36" t="s">
        <v>146</v>
      </c>
      <c r="C266" s="18"/>
      <c r="D266" s="232">
        <f>D267+D270+D273</f>
        <v>157956</v>
      </c>
      <c r="E266" s="232">
        <f t="shared" ref="D266:F268" si="77">E267</f>
        <v>5000</v>
      </c>
      <c r="F266" s="232">
        <f t="shared" si="77"/>
        <v>5000</v>
      </c>
    </row>
    <row r="267" spans="1:6" ht="26.25" customHeight="1" x14ac:dyDescent="0.25">
      <c r="A267" s="67" t="s">
        <v>147</v>
      </c>
      <c r="B267" s="36" t="s">
        <v>148</v>
      </c>
      <c r="C267" s="18"/>
      <c r="D267" s="232">
        <f t="shared" si="77"/>
        <v>15000</v>
      </c>
      <c r="E267" s="232">
        <f t="shared" si="77"/>
        <v>5000</v>
      </c>
      <c r="F267" s="232">
        <f t="shared" si="77"/>
        <v>5000</v>
      </c>
    </row>
    <row r="268" spans="1:6" ht="19.5" customHeight="1" x14ac:dyDescent="0.25">
      <c r="A268" s="39" t="s">
        <v>65</v>
      </c>
      <c r="B268" s="40" t="s">
        <v>148</v>
      </c>
      <c r="C268" s="20">
        <v>200</v>
      </c>
      <c r="D268" s="233">
        <f t="shared" si="77"/>
        <v>15000</v>
      </c>
      <c r="E268" s="233">
        <f t="shared" si="77"/>
        <v>5000</v>
      </c>
      <c r="F268" s="233">
        <f t="shared" si="77"/>
        <v>5000</v>
      </c>
    </row>
    <row r="269" spans="1:6" ht="27" customHeight="1" x14ac:dyDescent="0.25">
      <c r="A269" s="19" t="s">
        <v>28</v>
      </c>
      <c r="B269" s="40" t="s">
        <v>148</v>
      </c>
      <c r="C269" s="20">
        <v>240</v>
      </c>
      <c r="D269" s="233">
        <f>5000+10000</f>
        <v>15000</v>
      </c>
      <c r="E269" s="233">
        <f>5000</f>
        <v>5000</v>
      </c>
      <c r="F269" s="233">
        <f>5000</f>
        <v>5000</v>
      </c>
    </row>
    <row r="270" spans="1:6" ht="29.45" customHeight="1" x14ac:dyDescent="0.25">
      <c r="A270" s="17" t="s">
        <v>241</v>
      </c>
      <c r="B270" s="18" t="s">
        <v>291</v>
      </c>
      <c r="C270" s="191"/>
      <c r="D270" s="232">
        <f>D271</f>
        <v>138740</v>
      </c>
      <c r="E270" s="232">
        <f t="shared" ref="E270:F271" si="78">E271</f>
        <v>0</v>
      </c>
      <c r="F270" s="232">
        <f t="shared" si="78"/>
        <v>0</v>
      </c>
    </row>
    <row r="271" spans="1:6" ht="24.6" customHeight="1" x14ac:dyDescent="0.25">
      <c r="A271" s="19" t="s">
        <v>65</v>
      </c>
      <c r="B271" s="20" t="s">
        <v>291</v>
      </c>
      <c r="C271" s="142">
        <v>200</v>
      </c>
      <c r="D271" s="233">
        <f>D272</f>
        <v>138740</v>
      </c>
      <c r="E271" s="233">
        <f t="shared" si="78"/>
        <v>0</v>
      </c>
      <c r="F271" s="233">
        <f t="shared" si="78"/>
        <v>0</v>
      </c>
    </row>
    <row r="272" spans="1:6" ht="27" customHeight="1" x14ac:dyDescent="0.25">
      <c r="A272" s="19" t="s">
        <v>28</v>
      </c>
      <c r="B272" s="20" t="s">
        <v>291</v>
      </c>
      <c r="C272" s="142">
        <v>240</v>
      </c>
      <c r="D272" s="233">
        <f>138740</f>
        <v>138740</v>
      </c>
      <c r="E272" s="233">
        <v>0</v>
      </c>
      <c r="F272" s="233">
        <v>0</v>
      </c>
    </row>
    <row r="273" spans="1:6" ht="27" customHeight="1" x14ac:dyDescent="0.25">
      <c r="A273" s="17" t="s">
        <v>290</v>
      </c>
      <c r="B273" s="18" t="s">
        <v>289</v>
      </c>
      <c r="C273" s="191"/>
      <c r="D273" s="232">
        <f>D274</f>
        <v>4216</v>
      </c>
      <c r="E273" s="232">
        <f t="shared" ref="E273:F274" si="79">E274</f>
        <v>0</v>
      </c>
      <c r="F273" s="232">
        <f t="shared" si="79"/>
        <v>0</v>
      </c>
    </row>
    <row r="274" spans="1:6" ht="27" customHeight="1" x14ac:dyDescent="0.25">
      <c r="A274" s="19" t="s">
        <v>65</v>
      </c>
      <c r="B274" s="20" t="s">
        <v>289</v>
      </c>
      <c r="C274" s="142">
        <v>200</v>
      </c>
      <c r="D274" s="233">
        <f>D275</f>
        <v>4216</v>
      </c>
      <c r="E274" s="233">
        <f t="shared" si="79"/>
        <v>0</v>
      </c>
      <c r="F274" s="233">
        <f t="shared" si="79"/>
        <v>0</v>
      </c>
    </row>
    <row r="275" spans="1:6" ht="27" customHeight="1" x14ac:dyDescent="0.25">
      <c r="A275" s="19" t="s">
        <v>28</v>
      </c>
      <c r="B275" s="20" t="s">
        <v>289</v>
      </c>
      <c r="C275" s="142">
        <v>240</v>
      </c>
      <c r="D275" s="233">
        <f>4216</f>
        <v>4216</v>
      </c>
      <c r="E275" s="233">
        <v>0</v>
      </c>
      <c r="F275" s="233">
        <v>0</v>
      </c>
    </row>
    <row r="276" spans="1:6" s="42" customFormat="1" ht="27" customHeight="1" x14ac:dyDescent="0.25">
      <c r="A276" s="17" t="s">
        <v>150</v>
      </c>
      <c r="B276" s="423"/>
      <c r="C276" s="424"/>
      <c r="D276" s="232">
        <v>0</v>
      </c>
      <c r="E276" s="232">
        <f>270000</f>
        <v>270000</v>
      </c>
      <c r="F276" s="232">
        <f>520000</f>
        <v>520000</v>
      </c>
    </row>
    <row r="277" spans="1:6" ht="25.5" customHeight="1" x14ac:dyDescent="0.25">
      <c r="A277" s="419" t="s">
        <v>149</v>
      </c>
      <c r="B277" s="420"/>
      <c r="C277" s="421"/>
      <c r="D277" s="239">
        <f>D21+D106+D276</f>
        <v>22137776.950000003</v>
      </c>
      <c r="E277" s="239">
        <f>E21+E106+E276</f>
        <v>14763817.540000001</v>
      </c>
      <c r="F277" s="239">
        <f>F21+F106+F276</f>
        <v>14364950</v>
      </c>
    </row>
    <row r="278" spans="1:6" x14ac:dyDescent="0.25">
      <c r="A278" s="5"/>
      <c r="B278" s="422"/>
      <c r="C278" s="422"/>
      <c r="D278" s="240"/>
      <c r="E278" s="240"/>
      <c r="F278" s="240"/>
    </row>
    <row r="279" spans="1:6" s="42" customFormat="1" x14ac:dyDescent="0.25">
      <c r="A279" s="5"/>
      <c r="B279" s="417"/>
      <c r="C279" s="417"/>
      <c r="D279" s="241">
        <f>D277-D278</f>
        <v>22137776.950000003</v>
      </c>
      <c r="E279" s="241">
        <f>E277-E278</f>
        <v>14763817.540000001</v>
      </c>
      <c r="F279" s="241">
        <f t="shared" ref="F279" si="80">F277-F278</f>
        <v>14364950</v>
      </c>
    </row>
    <row r="280" spans="1:6" x14ac:dyDescent="0.25">
      <c r="A280" s="417" t="s">
        <v>179</v>
      </c>
      <c r="B280" s="417"/>
      <c r="C280" s="418"/>
      <c r="D280" s="242">
        <f>D197+D126+D112</f>
        <v>1615800</v>
      </c>
      <c r="E280" s="242">
        <f>E197+E126+E112</f>
        <v>1615800</v>
      </c>
      <c r="F280" s="242">
        <f>F197+F126+F112</f>
        <v>1615800</v>
      </c>
    </row>
    <row r="281" spans="1:6" x14ac:dyDescent="0.25">
      <c r="A281" s="417" t="s">
        <v>180</v>
      </c>
      <c r="B281" s="417"/>
      <c r="C281" s="418"/>
      <c r="D281" s="242">
        <f>D232+D65</f>
        <v>1080906.9000000001</v>
      </c>
      <c r="E281" s="242">
        <f>E232+E65</f>
        <v>1080906.8999999999</v>
      </c>
      <c r="F281" s="242">
        <f>F232+F65</f>
        <v>1080906.8999999999</v>
      </c>
    </row>
    <row r="282" spans="1:6" x14ac:dyDescent="0.25">
      <c r="A282" s="5"/>
      <c r="B282" s="5"/>
      <c r="C282" s="5"/>
      <c r="D282" s="111"/>
      <c r="E282" s="111"/>
      <c r="F282" s="111"/>
    </row>
    <row r="283" spans="1:6" x14ac:dyDescent="0.25">
      <c r="A283" s="5"/>
      <c r="B283" s="5"/>
      <c r="C283" s="5"/>
      <c r="D283" s="111"/>
      <c r="E283" s="111"/>
      <c r="F283" s="112"/>
    </row>
    <row r="284" spans="1:6" x14ac:dyDescent="0.25">
      <c r="A284" s="5"/>
      <c r="B284" s="5"/>
      <c r="C284" s="5"/>
      <c r="D284" s="111"/>
      <c r="E284" s="111"/>
      <c r="F284" s="111"/>
    </row>
  </sheetData>
  <mergeCells count="22">
    <mergeCell ref="B2:I2"/>
    <mergeCell ref="B3:I3"/>
    <mergeCell ref="B4:I4"/>
    <mergeCell ref="B5:I5"/>
    <mergeCell ref="B276:C276"/>
    <mergeCell ref="A14:F14"/>
    <mergeCell ref="D18:D19"/>
    <mergeCell ref="D17:F17"/>
    <mergeCell ref="A17:A19"/>
    <mergeCell ref="E8:F8"/>
    <mergeCell ref="E9:F9"/>
    <mergeCell ref="E10:F10"/>
    <mergeCell ref="E11:F11"/>
    <mergeCell ref="B17:B19"/>
    <mergeCell ref="C17:C19"/>
    <mergeCell ref="E18:E19"/>
    <mergeCell ref="F18:F19"/>
    <mergeCell ref="A280:C280"/>
    <mergeCell ref="A281:C281"/>
    <mergeCell ref="A277:C277"/>
    <mergeCell ref="B278:C278"/>
    <mergeCell ref="B279:C279"/>
  </mergeCells>
  <pageMargins left="0.70866141732283472" right="0.31496062992125984" top="0.47244094488188981" bottom="0.47244094488188981" header="0.31496062992125984" footer="0.31496062992125984"/>
  <pageSetup paperSize="9" scale="62" fitToHeight="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Приложение № 2</vt:lpstr>
      <vt:lpstr>Приложение № 2 (2)</vt:lpstr>
      <vt:lpstr>Прилож № 3 программы</vt:lpstr>
      <vt:lpstr>'Приложение № 2'!Заголовки_для_печати</vt:lpstr>
      <vt:lpstr>'Приложение № 2 (2)'!Заголовки_для_печати</vt:lpstr>
      <vt:lpstr>'Прилож № 3 программы'!Область_печати</vt:lpstr>
      <vt:lpstr>'Приложение № 2'!Область_печати</vt:lpstr>
      <vt:lpstr>'Приложение № 2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2024-07-01T07:46:16Z</dcterms:modified>
</cp:coreProperties>
</file>